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475" yWindow="885" windowWidth="15480" windowHeight="11640" activeTab="0"/>
  </bookViews>
  <sheets>
    <sheet name="Contents" sheetId="1" r:id="rId1"/>
    <sheet name="M|M|s" sheetId="2" r:id="rId2"/>
    <sheet name="M|G|1" sheetId="3" r:id="rId3"/>
    <sheet name="M|D|1" sheetId="4" r:id="rId4"/>
    <sheet name="M|E|1" sheetId="5" r:id="rId5"/>
    <sheet name="Nonpreemptive Priorities" sheetId="6" r:id="rId6"/>
    <sheet name="Preemptive Priorities" sheetId="7" r:id="rId7"/>
    <sheet name="Finite Queue" sheetId="8" r:id="rId8"/>
    <sheet name="Finite Calling Population" sheetId="9" r:id="rId9"/>
    <sheet name="M|M|s Economic Analysis" sheetId="10" r:id="rId10"/>
    <sheet name="Sheet1" sheetId="11" r:id="rId11"/>
  </sheets>
  <definedNames>
    <definedName name="beta">#REF!</definedName>
    <definedName name="InitialTrend">#REF!</definedName>
    <definedName name="sencount" hidden="1">4</definedName>
    <definedName name="sencount2" hidden="1">3</definedName>
  </definedNames>
  <calcPr fullCalcOnLoad="1"/>
</workbook>
</file>

<file path=xl/sharedStrings.xml><?xml version="1.0" encoding="utf-8"?>
<sst xmlns="http://schemas.openxmlformats.org/spreadsheetml/2006/main" count="269" uniqueCount="81">
  <si>
    <t>Data</t>
  </si>
  <si>
    <t>Results</t>
  </si>
  <si>
    <t>l =</t>
  </si>
  <si>
    <t>L =</t>
  </si>
  <si>
    <t>m =</t>
  </si>
  <si>
    <t>s =</t>
  </si>
  <si>
    <t>(# servers)</t>
  </si>
  <si>
    <t>W =</t>
  </si>
  <si>
    <t>when t =</t>
  </si>
  <si>
    <t>r =</t>
  </si>
  <si>
    <t>1/m =</t>
  </si>
  <si>
    <t>(standard deviation)</t>
  </si>
  <si>
    <t>k =</t>
  </si>
  <si>
    <t>(shape parameter)</t>
  </si>
  <si>
    <t>N =</t>
  </si>
  <si>
    <t>(# of priority classes)</t>
  </si>
  <si>
    <t>L</t>
  </si>
  <si>
    <t>Lq</t>
  </si>
  <si>
    <t>W</t>
  </si>
  <si>
    <t>Wq</t>
  </si>
  <si>
    <t>K =</t>
  </si>
  <si>
    <t>(max customers)</t>
  </si>
  <si>
    <t>(size of population)</t>
  </si>
  <si>
    <t>(mean arrival rate)</t>
  </si>
  <si>
    <t>(mean service rate)</t>
  </si>
  <si>
    <t>(expected service time)</t>
  </si>
  <si>
    <t>n =</t>
  </si>
  <si>
    <t>(max arrival rate)</t>
  </si>
  <si>
    <t>(cost/server/unit time)</t>
  </si>
  <si>
    <t>(waiting cost/unit time)</t>
  </si>
  <si>
    <t>Cost of Waiting =</t>
  </si>
  <si>
    <t>Total Cost =</t>
  </si>
  <si>
    <t>Cost of Service =</t>
  </si>
  <si>
    <t>Template for M/M/s Queueing Model</t>
  </si>
  <si>
    <t>Template for M/G/1 Queueing Model</t>
  </si>
  <si>
    <t>Template for M/D/1 Queueing Model</t>
  </si>
  <si>
    <t>Template for M/E/1 Queueing Model</t>
  </si>
  <si>
    <t>Template for M/M/s Nonpreemptive Priorities Queueing Model</t>
  </si>
  <si>
    <t>Template for M/M/s Preemptive Priorities Queueing Model</t>
  </si>
  <si>
    <t>Template for M/M/s Finite Queue Model</t>
  </si>
  <si>
    <t>Template for M/M/s Finite Calling Population Model</t>
  </si>
  <si>
    <t>Template for Economic Analysis of M/M/s Queueing Model</t>
  </si>
  <si>
    <r>
      <t>L</t>
    </r>
    <r>
      <rPr>
        <vertAlign val="subscript"/>
        <sz val="10"/>
        <rFont val="Helv"/>
        <family val="0"/>
      </rPr>
      <t>q</t>
    </r>
    <r>
      <rPr>
        <sz val="10"/>
        <rFont val="Helv"/>
        <family val="0"/>
      </rPr>
      <t xml:space="preserve"> =</t>
    </r>
  </si>
  <si>
    <t>Pr(w&gt;t) =</t>
  </si>
  <si>
    <r>
      <t>W</t>
    </r>
    <r>
      <rPr>
        <vertAlign val="subscript"/>
        <sz val="10"/>
        <rFont val="Helv"/>
        <family val="0"/>
      </rPr>
      <t>q</t>
    </r>
    <r>
      <rPr>
        <sz val="10"/>
        <rFont val="Helv"/>
        <family val="0"/>
      </rPr>
      <t xml:space="preserve"> =</t>
    </r>
  </si>
  <si>
    <r>
      <t>Prob(w</t>
    </r>
    <r>
      <rPr>
        <vertAlign val="subscript"/>
        <sz val="10"/>
        <rFont val="Helv"/>
        <family val="0"/>
      </rPr>
      <t>q</t>
    </r>
    <r>
      <rPr>
        <sz val="10"/>
        <rFont val="Helv"/>
        <family val="0"/>
      </rPr>
      <t>&gt;t) =</t>
    </r>
  </si>
  <si>
    <r>
      <t>P</t>
    </r>
    <r>
      <rPr>
        <vertAlign val="subscript"/>
        <sz val="10"/>
        <rFont val="Helv"/>
        <family val="0"/>
      </rPr>
      <t>0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</si>
  <si>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1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</si>
  <si>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2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</si>
  <si>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3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</si>
  <si>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4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</si>
  <si>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5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</si>
  <si>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6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</si>
  <si>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7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</si>
  <si>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8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</si>
  <si>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9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</si>
  <si>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10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</si>
  <si>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11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</si>
  <si>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12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</si>
  <si>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13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</si>
  <si>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14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</si>
  <si>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15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</si>
  <si>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16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</si>
  <si>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17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</si>
  <si>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18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</si>
  <si>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19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</si>
  <si>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20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</si>
  <si>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21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</si>
  <si>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22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</si>
  <si>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23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</si>
  <si>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24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</si>
  <si>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25</t>
    </r>
    <r>
      <rPr>
        <sz val="10"/>
        <rFont val="Helv"/>
        <family val="0"/>
      </rPr>
      <t xml:space="preserve"> =</t>
    </r>
  </si>
  <si>
    <r>
      <t>C</t>
    </r>
    <r>
      <rPr>
        <vertAlign val="subscript"/>
        <sz val="10"/>
        <rFont val="Helv"/>
        <family val="0"/>
      </rPr>
      <t>s</t>
    </r>
    <r>
      <rPr>
        <sz val="10"/>
        <rFont val="Helv"/>
        <family val="0"/>
      </rPr>
      <t xml:space="preserve"> =</t>
    </r>
  </si>
  <si>
    <r>
      <t>C</t>
    </r>
    <r>
      <rPr>
        <vertAlign val="subscript"/>
        <sz val="10"/>
        <rFont val="Helv"/>
        <family val="0"/>
      </rPr>
      <t>w</t>
    </r>
    <r>
      <rPr>
        <sz val="10"/>
        <rFont val="Helv"/>
        <family val="0"/>
      </rPr>
      <t xml:space="preserve"> =</t>
    </r>
  </si>
  <si>
    <r>
      <t>l</t>
    </r>
    <r>
      <rPr>
        <vertAlign val="subscript"/>
        <sz val="10"/>
        <rFont val="Helv"/>
        <family val="0"/>
      </rPr>
      <t>i</t>
    </r>
  </si>
  <si>
    <r>
      <t>l</t>
    </r>
    <r>
      <rPr>
        <sz val="10"/>
        <rFont val="Helv"/>
        <family val="0"/>
      </rPr>
      <t>-bar =</t>
    </r>
  </si>
  <si>
    <r>
      <t>Pr(</t>
    </r>
    <r>
      <rPr>
        <sz val="10"/>
        <rFont val="Zapf Chancery"/>
        <family val="0"/>
      </rPr>
      <t xml:space="preserve">W </t>
    </r>
    <r>
      <rPr>
        <sz val="10"/>
        <rFont val="Helv"/>
        <family val="0"/>
      </rPr>
      <t>&gt; t) =</t>
    </r>
  </si>
  <si>
    <r>
      <t>Prob(</t>
    </r>
    <r>
      <rPr>
        <sz val="10"/>
        <rFont val="Zapf Chancery"/>
        <family val="0"/>
      </rPr>
      <t>W</t>
    </r>
    <r>
      <rPr>
        <vertAlign val="subscript"/>
        <sz val="10"/>
        <rFont val="Helv"/>
        <family val="0"/>
      </rPr>
      <t xml:space="preserve">q </t>
    </r>
    <r>
      <rPr>
        <sz val="10"/>
        <rFont val="Helv"/>
        <family val="0"/>
      </rPr>
      <t>&gt; t) =</t>
    </r>
  </si>
  <si>
    <t>Contents:</t>
  </si>
  <si>
    <t>Click on the tab below to select the worksheet of your choice.</t>
  </si>
  <si>
    <t>Ch. 14 - Queueing Models</t>
  </si>
</sst>
</file>

<file path=xl/styles.xml><?xml version="1.0" encoding="utf-8"?>
<styleSheet xmlns="http://schemas.openxmlformats.org/spreadsheetml/2006/main">
  <numFmts count="46">
    <numFmt numFmtId="5" formatCode="&quot;TL&quot;#,##0;\-&quot;TL&quot;#,##0"/>
    <numFmt numFmtId="6" formatCode="&quot;TL&quot;#,##0;[Red]\-&quot;TL&quot;#,##0"/>
    <numFmt numFmtId="7" formatCode="&quot;TL&quot;#,##0.00;\-&quot;TL&quot;#,##0.00"/>
    <numFmt numFmtId="8" formatCode="&quot;TL&quot;#,##0.00;[Red]\-&quot;TL&quot;#,##0.00"/>
    <numFmt numFmtId="42" formatCode="_-&quot;TL&quot;* #,##0_-;\-&quot;TL&quot;* #,##0_-;_-&quot;TL&quot;* &quot;-&quot;_-;_-@_-"/>
    <numFmt numFmtId="41" formatCode="_-* #,##0_-;\-* #,##0_-;_-* &quot;-&quot;_-;_-@_-"/>
    <numFmt numFmtId="44" formatCode="_-&quot;TL&quot;* #,##0.00_-;\-&quot;TL&quot;* #,##0.00_-;_-&quot;TL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0000"/>
    <numFmt numFmtId="181" formatCode="0;\-0;;@"/>
    <numFmt numFmtId="182" formatCode="&quot;+&quot;&quot;$&quot;#,##0.00;&quot;-&quot;&quot;$&quot;#,##0.00;&quot;$&quot;0.00"/>
    <numFmt numFmtId="183" formatCode="&quot;+&quot;&quot;$&quot;#,##0;&quot;-&quot;&quot;$&quot;#,##0;&quot;$&quot;0"/>
    <numFmt numFmtId="184" formatCode="_(* #,##0.0_);_(* \(#,##0.0\);_(* &quot;-&quot;??_);_(@_)"/>
    <numFmt numFmtId="185" formatCode="_(* #,##0_);_(* \(#,##0\);_(* &quot;-&quot;??_);_(@_)"/>
    <numFmt numFmtId="186" formatCode="&quot;$&quot;#,##0.00"/>
    <numFmt numFmtId="187" formatCode="&quot;$&quot;#,##0.0"/>
    <numFmt numFmtId="188" formatCode="&quot;$&quot;#,##0"/>
    <numFmt numFmtId="189" formatCode="&quot;$&quot;0"/>
    <numFmt numFmtId="190" formatCode="&quot;$&quot;0.0"/>
    <numFmt numFmtId="191" formatCode="*0.00"/>
    <numFmt numFmtId="192" formatCode="&quot;$&quot;0.00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  <numFmt numFmtId="195" formatCode="0E+00"/>
    <numFmt numFmtId="196" formatCode="0.0E+00"/>
    <numFmt numFmtId="197" formatCode="0.0000000000"/>
    <numFmt numFmtId="198" formatCode="0.00000000000"/>
    <numFmt numFmtId="199" formatCode="0.0000E+00"/>
    <numFmt numFmtId="200" formatCode="0.000E+00"/>
    <numFmt numFmtId="201" formatCode="_(&quot;$&quot;* #,##0.000_);_(&quot;$&quot;* \(#,##0.000\);_(&quot;$&quot;* &quot;-&quot;??_);_(@_)"/>
  </numFmts>
  <fonts count="2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Symbol"/>
      <family val="0"/>
    </font>
    <font>
      <b/>
      <sz val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vertAlign val="subscript"/>
      <sz val="10"/>
      <name val="Helv"/>
      <family val="0"/>
    </font>
    <font>
      <sz val="10"/>
      <color indexed="8"/>
      <name val="Helv"/>
      <family val="0"/>
    </font>
    <font>
      <sz val="10"/>
      <color indexed="9"/>
      <name val="Helv"/>
      <family val="0"/>
    </font>
    <font>
      <sz val="10"/>
      <name val="Zapf Chancery"/>
      <family val="0"/>
    </font>
    <font>
      <sz val="4.25"/>
      <name val="Geneva"/>
      <family val="0"/>
    </font>
    <font>
      <sz val="5.25"/>
      <name val="Geneva"/>
      <family val="0"/>
    </font>
    <font>
      <sz val="8"/>
      <name val="Helv"/>
      <family val="0"/>
    </font>
    <font>
      <b/>
      <sz val="12"/>
      <name val="Symbol"/>
      <family val="0"/>
    </font>
    <font>
      <sz val="3.75"/>
      <name val="Helv"/>
      <family val="0"/>
    </font>
    <font>
      <sz val="5.75"/>
      <name val="Helv"/>
      <family val="0"/>
    </font>
    <font>
      <sz val="4"/>
      <name val="Helv"/>
      <family val="0"/>
    </font>
    <font>
      <sz val="9"/>
      <name val="Geneva"/>
      <family val="0"/>
    </font>
    <font>
      <b/>
      <sz val="14"/>
      <color indexed="12"/>
      <name val="Helv"/>
      <family val="0"/>
    </font>
    <font>
      <b/>
      <sz val="12"/>
      <color indexed="20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right"/>
      <protection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2" xfId="0" applyFont="1" applyFill="1" applyBorder="1" applyAlignment="1" applyProtection="1">
      <alignment horizontal="right"/>
      <protection/>
    </xf>
    <xf numFmtId="0" fontId="4" fillId="0" borderId="2" xfId="0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Continuous"/>
      <protection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right"/>
      <protection/>
    </xf>
    <xf numFmtId="0" fontId="6" fillId="3" borderId="7" xfId="0" applyFont="1" applyFill="1" applyBorder="1" applyAlignment="1" applyProtection="1">
      <alignment/>
      <protection/>
    </xf>
    <xf numFmtId="0" fontId="6" fillId="0" borderId="2" xfId="0" applyFont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/>
      <protection/>
    </xf>
    <xf numFmtId="0" fontId="6" fillId="0" borderId="2" xfId="0" applyFont="1" applyFill="1" applyBorder="1" applyAlignment="1" applyProtection="1">
      <alignment horizontal="right"/>
      <protection/>
    </xf>
    <xf numFmtId="0" fontId="6" fillId="3" borderId="8" xfId="0" applyFont="1" applyFill="1" applyBorder="1" applyAlignment="1" applyProtection="1">
      <alignment/>
      <protection/>
    </xf>
    <xf numFmtId="0" fontId="6" fillId="0" borderId="5" xfId="0" applyFont="1" applyBorder="1" applyAlignment="1" applyProtection="1">
      <alignment horizontal="right"/>
      <protection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right"/>
      <protection/>
    </xf>
    <xf numFmtId="0" fontId="6" fillId="3" borderId="1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7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2" xfId="0" applyFont="1" applyFill="1" applyBorder="1" applyAlignment="1" applyProtection="1">
      <alignment horizontal="right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right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6" fillId="3" borderId="8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6" fillId="0" borderId="1" xfId="0" applyFont="1" applyBorder="1" applyAlignment="1">
      <alignment horizontal="right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3" borderId="7" xfId="0" applyFont="1" applyFill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8" xfId="0" applyFont="1" applyBorder="1" applyAlignment="1">
      <alignment/>
    </xf>
    <xf numFmtId="0" fontId="6" fillId="0" borderId="2" xfId="0" applyFont="1" applyFill="1" applyBorder="1" applyAlignment="1">
      <alignment horizontal="right"/>
    </xf>
    <xf numFmtId="0" fontId="6" fillId="3" borderId="8" xfId="0" applyFont="1" applyFill="1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5" xfId="0" applyFont="1" applyFill="1" applyBorder="1" applyAlignment="1">
      <alignment horizontal="right"/>
    </xf>
    <xf numFmtId="0" fontId="6" fillId="3" borderId="10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2" borderId="1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9" fillId="0" borderId="0" xfId="0" applyFont="1" applyAlignment="1" applyProtection="1">
      <alignment/>
      <protection hidden="1"/>
    </xf>
    <xf numFmtId="0" fontId="6" fillId="0" borderId="16" xfId="0" applyFont="1" applyBorder="1" applyAlignment="1">
      <alignment horizontal="right"/>
    </xf>
    <xf numFmtId="0" fontId="6" fillId="2" borderId="8" xfId="0" applyFont="1" applyFill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2" borderId="10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Continuous"/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6" fillId="3" borderId="7" xfId="0" applyFont="1" applyFill="1" applyBorder="1" applyAlignment="1" applyProtection="1">
      <alignment/>
      <protection locked="0"/>
    </xf>
    <xf numFmtId="0" fontId="6" fillId="0" borderId="5" xfId="0" applyFont="1" applyBorder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3" borderId="10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7" fillId="0" borderId="0" xfId="19" applyFont="1">
      <alignment/>
      <protection/>
    </xf>
    <xf numFmtId="0" fontId="6" fillId="0" borderId="0" xfId="19" applyFont="1">
      <alignment/>
      <protection/>
    </xf>
    <xf numFmtId="0" fontId="20" fillId="4" borderId="18" xfId="19" applyFont="1" applyFill="1" applyBorder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0" fontId="21" fillId="0" borderId="0" xfId="23" applyFont="1" applyAlignment="1">
      <alignment horizontal="left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_Ch  1  Introduction.xls" xfId="19"/>
    <cellStyle name="Normal_Ch  5  Transp &amp; Assignment.xls" xfId="20"/>
    <cellStyle name="Normal_Ch  6  Network Problems.xls" xfId="21"/>
    <cellStyle name="Normal_Ch 12 Uncertain Dem Inv Mgt.xls" xfId="22"/>
    <cellStyle name="Normal_Ch 13 Forecasting.xls" xfId="23"/>
    <cellStyle name="Normal_Ch.11 Excel Figures" xfId="24"/>
    <cellStyle name="Normal_Ch.12 - Inventory.xls" xfId="25"/>
    <cellStyle name="Normal_Ch.12 Excel Figure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14"/>
          <c:w val="0.90325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'Finite Calling Population'!$A$13:$A$38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'M|M|s'!$G$12:$G$37</c:f>
              <c:numCache>
                <c:ptCount val="26"/>
                <c:pt idx="0">
                  <c:v>0.1111111111111111</c:v>
                </c:pt>
                <c:pt idx="1">
                  <c:v>0.2222222222222222</c:v>
                </c:pt>
                <c:pt idx="2">
                  <c:v>0.2222222222222222</c:v>
                </c:pt>
                <c:pt idx="3">
                  <c:v>0.14814814814814814</c:v>
                </c:pt>
                <c:pt idx="4">
                  <c:v>0.09876543209876543</c:v>
                </c:pt>
                <c:pt idx="5">
                  <c:v>0.06584362139917695</c:v>
                </c:pt>
                <c:pt idx="6">
                  <c:v>0.0438957475994513</c:v>
                </c:pt>
                <c:pt idx="7">
                  <c:v>0.029263831732967534</c:v>
                </c:pt>
                <c:pt idx="8">
                  <c:v>0.01950922115531169</c:v>
                </c:pt>
                <c:pt idx="9">
                  <c:v>0.01300614743687446</c:v>
                </c:pt>
                <c:pt idx="10">
                  <c:v>0.008670764957916306</c:v>
                </c:pt>
                <c:pt idx="11">
                  <c:v>0.0057805099719442045</c:v>
                </c:pt>
                <c:pt idx="12">
                  <c:v>0.0038536733146294693</c:v>
                </c:pt>
                <c:pt idx="13">
                  <c:v>0.002569115543086313</c:v>
                </c:pt>
                <c:pt idx="14">
                  <c:v>0.0017127436953908754</c:v>
                </c:pt>
                <c:pt idx="15">
                  <c:v>0.0011418291302605836</c:v>
                </c:pt>
                <c:pt idx="16">
                  <c:v>0.0007612194201737224</c:v>
                </c:pt>
                <c:pt idx="17">
                  <c:v>0.0005074796134491483</c:v>
                </c:pt>
                <c:pt idx="18">
                  <c:v>0.00033831974229943216</c:v>
                </c:pt>
                <c:pt idx="19">
                  <c:v>0.0002255464948662881</c:v>
                </c:pt>
                <c:pt idx="20">
                  <c:v>0.00015036432991085875</c:v>
                </c:pt>
                <c:pt idx="21">
                  <c:v>0.00010024288660723916</c:v>
                </c:pt>
                <c:pt idx="22">
                  <c:v>6.682859107149277E-05</c:v>
                </c:pt>
                <c:pt idx="23">
                  <c:v>4.455239404766185E-05</c:v>
                </c:pt>
                <c:pt idx="24">
                  <c:v>2.9701596031774567E-05</c:v>
                </c:pt>
                <c:pt idx="25">
                  <c:v>1.9801064021183045E-05</c:v>
                </c:pt>
              </c:numCache>
            </c:numRef>
          </c:val>
        </c:ser>
        <c:axId val="8907110"/>
        <c:axId val="13055127"/>
      </c:barChart>
      <c:catAx>
        <c:axId val="8907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Number of Customers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055127"/>
        <c:crosses val="autoZero"/>
        <c:auto val="1"/>
        <c:lblOffset val="100"/>
        <c:tickLblSkip val="2"/>
        <c:noMultiLvlLbl val="0"/>
      </c:catAx>
      <c:valAx>
        <c:axId val="13055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907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'Finite Calling Population'!$A$13:$A$38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'Finite Queue'!$G$12:$G$37</c:f>
              <c:numCache>
                <c:ptCount val="26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50387280"/>
        <c:axId val="50832337"/>
      </c:barChart>
      <c:catAx>
        <c:axId val="50387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Number of Customers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832337"/>
        <c:crosses val="autoZero"/>
        <c:auto val="1"/>
        <c:lblOffset val="100"/>
        <c:tickLblSkip val="2"/>
        <c:noMultiLvlLbl val="0"/>
      </c:catAx>
      <c:valAx>
        <c:axId val="5083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387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'Finite Calling Population'!$A$13:$A$38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'Finite Calling Population'!$G$13:$G$38</c:f>
              <c:numCache>
                <c:ptCount val="26"/>
                <c:pt idx="0">
                  <c:v>0.28486782133090244</c:v>
                </c:pt>
                <c:pt idx="1">
                  <c:v>0.28486782133090244</c:v>
                </c:pt>
                <c:pt idx="2">
                  <c:v>0.227894257064722</c:v>
                </c:pt>
                <c:pt idx="3">
                  <c:v>0.13673655423883319</c:v>
                </c:pt>
                <c:pt idx="4">
                  <c:v>0.05469462169553329</c:v>
                </c:pt>
                <c:pt idx="5">
                  <c:v>0.01093892433910666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54837850"/>
        <c:axId val="23778603"/>
      </c:barChart>
      <c:catAx>
        <c:axId val="54837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Number of Customers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778603"/>
        <c:crosses val="autoZero"/>
        <c:auto val="1"/>
        <c:lblOffset val="100"/>
        <c:tickLblSkip val="2"/>
        <c:noMultiLvlLbl val="0"/>
      </c:catAx>
      <c:valAx>
        <c:axId val="23778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837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'Finite Calling Population'!$A$13:$A$38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'M|M|s Economic Analysis'!$G$12:$G$37</c:f>
              <c:numCache>
                <c:ptCount val="26"/>
                <c:pt idx="0">
                  <c:v>0.21052631578947367</c:v>
                </c:pt>
                <c:pt idx="1">
                  <c:v>0.3157894736842105</c:v>
                </c:pt>
                <c:pt idx="2">
                  <c:v>0.23684210526315788</c:v>
                </c:pt>
                <c:pt idx="3">
                  <c:v>0.11842105263157894</c:v>
                </c:pt>
                <c:pt idx="4">
                  <c:v>0.05921052631578946</c:v>
                </c:pt>
                <c:pt idx="5">
                  <c:v>0.029605263157894735</c:v>
                </c:pt>
                <c:pt idx="6">
                  <c:v>0.014802631578947368</c:v>
                </c:pt>
                <c:pt idx="7">
                  <c:v>0.007401315789473684</c:v>
                </c:pt>
                <c:pt idx="8">
                  <c:v>0.0037006578947368423</c:v>
                </c:pt>
                <c:pt idx="9">
                  <c:v>0.0018503289473684207</c:v>
                </c:pt>
                <c:pt idx="10">
                  <c:v>0.0009251644736842106</c:v>
                </c:pt>
                <c:pt idx="11">
                  <c:v>0.00046258223684210524</c:v>
                </c:pt>
                <c:pt idx="12">
                  <c:v>0.00023129111842105262</c:v>
                </c:pt>
                <c:pt idx="13">
                  <c:v>0.0001156455592105263</c:v>
                </c:pt>
                <c:pt idx="14">
                  <c:v>5.7822779605263155E-05</c:v>
                </c:pt>
                <c:pt idx="15">
                  <c:v>2.8911389802631577E-05</c:v>
                </c:pt>
                <c:pt idx="16">
                  <c:v>1.4455694901315787E-05</c:v>
                </c:pt>
                <c:pt idx="17">
                  <c:v>7.227847450657894E-06</c:v>
                </c:pt>
                <c:pt idx="18">
                  <c:v>3.6139237253289476E-06</c:v>
                </c:pt>
                <c:pt idx="19">
                  <c:v>1.8069618626644736E-06</c:v>
                </c:pt>
                <c:pt idx="20">
                  <c:v>9.034809313322368E-07</c:v>
                </c:pt>
                <c:pt idx="21">
                  <c:v>4.517404656661184E-07</c:v>
                </c:pt>
                <c:pt idx="22">
                  <c:v>2.258702328330592E-07</c:v>
                </c:pt>
                <c:pt idx="23">
                  <c:v>1.129351164165296E-07</c:v>
                </c:pt>
                <c:pt idx="24">
                  <c:v>5.64675582082648E-08</c:v>
                </c:pt>
                <c:pt idx="25">
                  <c:v>2.82337791041324E-08</c:v>
                </c:pt>
              </c:numCache>
            </c:numRef>
          </c:val>
        </c:ser>
        <c:axId val="12680836"/>
        <c:axId val="47018661"/>
      </c:barChart>
      <c:catAx>
        <c:axId val="1268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Number of Customers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018661"/>
        <c:crosses val="autoZero"/>
        <c:auto val="1"/>
        <c:lblOffset val="100"/>
        <c:tickLblSkip val="2"/>
        <c:noMultiLvlLbl val="0"/>
      </c:catAx>
      <c:valAx>
        <c:axId val="47018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680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4</xdr:col>
      <xdr:colOff>1790700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09550" y="2314575"/>
        <a:ext cx="482917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4</xdr:col>
      <xdr:colOff>1695450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209550" y="1552575"/>
        <a:ext cx="45529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4</xdr:col>
      <xdr:colOff>1657350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09550" y="1552575"/>
        <a:ext cx="45053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0</xdr:rowOff>
    </xdr:from>
    <xdr:to>
      <xdr:col>4</xdr:col>
      <xdr:colOff>1285875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219075" y="3419475"/>
        <a:ext cx="46767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tabSelected="1" workbookViewId="0" topLeftCell="A2">
      <selection activeCell="C6" sqref="C6"/>
    </sheetView>
  </sheetViews>
  <sheetFormatPr defaultColWidth="9.00390625" defaultRowHeight="12.75"/>
  <cols>
    <col min="1" max="1" width="1.625" style="123" customWidth="1"/>
    <col min="2" max="2" width="3.25390625" style="123" customWidth="1"/>
    <col min="3" max="3" width="37.75390625" style="123" customWidth="1"/>
    <col min="4" max="16384" width="9.25390625" style="123" customWidth="1"/>
  </cols>
  <sheetData>
    <row r="1" ht="13.5" thickBot="1">
      <c r="A1" s="122"/>
    </row>
    <row r="2" ht="20.25" thickBot="1">
      <c r="C2" s="124" t="s">
        <v>80</v>
      </c>
    </row>
    <row r="3" ht="12.75">
      <c r="C3" s="125"/>
    </row>
    <row r="5" ht="15.75">
      <c r="B5" s="126" t="s">
        <v>78</v>
      </c>
    </row>
    <row r="6" ht="15.75">
      <c r="C6" s="127" t="s">
        <v>33</v>
      </c>
    </row>
    <row r="7" ht="15.75">
      <c r="C7" s="127" t="s">
        <v>34</v>
      </c>
    </row>
    <row r="8" ht="15.75">
      <c r="C8" s="127" t="s">
        <v>35</v>
      </c>
    </row>
    <row r="9" ht="15.75">
      <c r="C9" s="127" t="s">
        <v>36</v>
      </c>
    </row>
    <row r="10" ht="15.75">
      <c r="C10" s="127" t="s">
        <v>37</v>
      </c>
    </row>
    <row r="11" ht="15.75">
      <c r="C11" s="127" t="s">
        <v>38</v>
      </c>
    </row>
    <row r="12" ht="15.75">
      <c r="C12" s="127" t="s">
        <v>39</v>
      </c>
    </row>
    <row r="13" ht="15.75">
      <c r="C13" s="127" t="s">
        <v>40</v>
      </c>
    </row>
    <row r="14" ht="15.75">
      <c r="C14" s="127" t="s">
        <v>41</v>
      </c>
    </row>
    <row r="17" ht="15.75">
      <c r="B17" s="126" t="s">
        <v>79</v>
      </c>
    </row>
  </sheetData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38"/>
  <sheetViews>
    <sheetView workbookViewId="0" topLeftCell="A1">
      <selection activeCell="C4" sqref="C4"/>
    </sheetView>
  </sheetViews>
  <sheetFormatPr defaultColWidth="9.00390625" defaultRowHeight="12.75"/>
  <cols>
    <col min="1" max="1" width="2.75390625" style="17" customWidth="1"/>
    <col min="2" max="2" width="15.00390625" style="15" customWidth="1"/>
    <col min="3" max="3" width="9.375" style="16" customWidth="1"/>
    <col min="4" max="4" width="20.25390625" style="17" customWidth="1"/>
    <col min="5" max="5" width="19.75390625" style="17" customWidth="1"/>
    <col min="6" max="6" width="5.875" style="15" customWidth="1"/>
    <col min="7" max="16384" width="10.75390625" style="17" customWidth="1"/>
  </cols>
  <sheetData>
    <row r="1" ht="15.75">
      <c r="A1" s="14" t="s">
        <v>41</v>
      </c>
    </row>
    <row r="3" spans="3:7" ht="13.5" thickBot="1">
      <c r="C3" s="18" t="s">
        <v>0</v>
      </c>
      <c r="F3" s="19" t="s">
        <v>1</v>
      </c>
      <c r="G3" s="19"/>
    </row>
    <row r="4" spans="2:7" ht="12.75">
      <c r="B4" s="1" t="s">
        <v>2</v>
      </c>
      <c r="C4" s="20">
        <v>120</v>
      </c>
      <c r="D4" s="21" t="s">
        <v>23</v>
      </c>
      <c r="F4" s="22" t="s">
        <v>3</v>
      </c>
      <c r="G4" s="23">
        <f>IF(G10&lt;1,G5+C4/C5,NA())</f>
        <v>1.736842105263158</v>
      </c>
    </row>
    <row r="5" spans="2:7" ht="14.25">
      <c r="B5" s="2" t="s">
        <v>4</v>
      </c>
      <c r="C5" s="25">
        <v>80</v>
      </c>
      <c r="D5" s="26" t="s">
        <v>24</v>
      </c>
      <c r="F5" s="27" t="s">
        <v>42</v>
      </c>
      <c r="G5" s="28">
        <f>IF(G10&lt;1,C4*C5*((C4/C5)^C6)/(FACT(C6-1)*(C6*C5-C4)^2/G12),NA())</f>
        <v>0.23684210526315788</v>
      </c>
    </row>
    <row r="6" spans="2:7" ht="13.5" thickBot="1">
      <c r="B6" s="29" t="s">
        <v>5</v>
      </c>
      <c r="C6" s="30">
        <v>3</v>
      </c>
      <c r="D6" s="31" t="s">
        <v>6</v>
      </c>
      <c r="F6" s="27"/>
      <c r="G6" s="28"/>
    </row>
    <row r="7" spans="3:7" ht="13.5" thickBot="1">
      <c r="C7" s="32"/>
      <c r="F7" s="27" t="s">
        <v>7</v>
      </c>
      <c r="G7" s="28">
        <f>IF(G10&lt;1,G4/C4,NA())</f>
        <v>0.014473684210526316</v>
      </c>
    </row>
    <row r="8" spans="2:7" ht="14.25">
      <c r="B8" s="22" t="s">
        <v>43</v>
      </c>
      <c r="C8" s="33">
        <f>EXP(-C5*(1-G10)*C9)</f>
        <v>4.248354255291589E-18</v>
      </c>
      <c r="D8" s="34"/>
      <c r="E8" s="34"/>
      <c r="F8" s="27" t="s">
        <v>44</v>
      </c>
      <c r="G8" s="28">
        <f>IF(G10&lt;1,G5/C4,NA())</f>
        <v>0.001973684210526316</v>
      </c>
    </row>
    <row r="9" spans="2:7" ht="13.5" thickBot="1">
      <c r="B9" s="29" t="s">
        <v>8</v>
      </c>
      <c r="C9" s="35">
        <v>1</v>
      </c>
      <c r="F9" s="27"/>
      <c r="G9" s="28"/>
    </row>
    <row r="10" spans="5:7" ht="13.5" thickBot="1">
      <c r="E10" s="119">
        <f>IF(G10&gt;=1,"Model invalid because:","")</f>
      </c>
      <c r="F10" s="9" t="s">
        <v>9</v>
      </c>
      <c r="G10" s="28">
        <f>C4/(C6*C5)</f>
        <v>0.5</v>
      </c>
    </row>
    <row r="11" spans="2:7" ht="15.75">
      <c r="B11" s="22" t="s">
        <v>45</v>
      </c>
      <c r="C11" s="33">
        <f>G10*EXP(-C5*(1-G10)*C12)</f>
        <v>2.1241771276457944E-18</v>
      </c>
      <c r="E11" s="120">
        <f>IF(G10&gt;=1,"   r   &gt;=   1","")</f>
      </c>
      <c r="F11" s="27"/>
      <c r="G11" s="28"/>
    </row>
    <row r="12" spans="2:7" ht="15" thickBot="1">
      <c r="B12" s="36" t="s">
        <v>8</v>
      </c>
      <c r="C12" s="35">
        <v>1</v>
      </c>
      <c r="F12" s="27" t="s">
        <v>46</v>
      </c>
      <c r="G12" s="28">
        <f>IF(G10&lt;1,1/(sumxpf(C4/C5,0,C6-1)+((C4/C5)^C6)/(FACT(C6)*(1-C4/(C6*C5)))),NA())</f>
        <v>0.21052631578947367</v>
      </c>
    </row>
    <row r="13" spans="6:7" ht="15" thickBot="1">
      <c r="F13" s="27" t="s">
        <v>47</v>
      </c>
      <c r="G13" s="28">
        <f>IF($G$10&lt;1,IF($C$6=1,(1-$G$10)*$G$10^ROW(G1),IF($C$6&gt;=ROW(G1),(($C$4/$C$5)^ROW(G1))*$G$12/FACT(ROW(G1)),(($C$4/$C$5)^ROW(G1))*$G$12/(FACT($C$6)*($C$6^(ROW(G1)-$C$6))))),NA())</f>
        <v>0.3157894736842105</v>
      </c>
    </row>
    <row r="14" spans="2:7" ht="14.25">
      <c r="B14" s="39" t="s">
        <v>72</v>
      </c>
      <c r="C14" s="20">
        <v>20</v>
      </c>
      <c r="D14" s="40" t="s">
        <v>28</v>
      </c>
      <c r="F14" s="27" t="s">
        <v>48</v>
      </c>
      <c r="G14" s="28">
        <f>IF($G$10&lt;1,IF($C$6=1,(1-$G$10)*$G$10^ROW(G2),IF($C$6&gt;=ROW(G2),(($C$4/$C$5)^ROW(G2))*$G$12/FACT(ROW(G2)),(($C$4/$C$5)^ROW(G2))*$G$12/(FACT($C$6)*($C$6^(ROW(G2)-$C$6))))),NA())</f>
        <v>0.23684210526315788</v>
      </c>
    </row>
    <row r="15" spans="2:7" ht="14.25">
      <c r="B15" s="41" t="s">
        <v>73</v>
      </c>
      <c r="C15" s="25">
        <v>48</v>
      </c>
      <c r="D15" s="42" t="s">
        <v>29</v>
      </c>
      <c r="F15" s="27" t="s">
        <v>49</v>
      </c>
      <c r="G15" s="28">
        <f aca="true" t="shared" si="0" ref="G15:G37">IF($G$10&lt;1,IF($C$6=1,(1-$G$10)*$G$10^ROW(G3),IF($C$6&gt;=ROW(G3),(($C$4/$C$5)^ROW(G3))*$G$12/FACT(ROW(G3)),(($C$4/$C$5)^ROW(G3))*$G$12/(FACT($C$6)*($C$6^(ROW(G3)-$C$6))))),NA())</f>
        <v>0.11842105263157894</v>
      </c>
    </row>
    <row r="16" spans="2:7" ht="14.25">
      <c r="B16" s="43" t="s">
        <v>32</v>
      </c>
      <c r="C16" s="44">
        <f>C14*C6</f>
        <v>60</v>
      </c>
      <c r="D16" s="42"/>
      <c r="F16" s="27" t="s">
        <v>50</v>
      </c>
      <c r="G16" s="28">
        <f t="shared" si="0"/>
        <v>0.05921052631578946</v>
      </c>
    </row>
    <row r="17" spans="2:7" ht="14.25">
      <c r="B17" s="43" t="s">
        <v>30</v>
      </c>
      <c r="C17" s="44">
        <f>C15*G4</f>
        <v>83.36842105263159</v>
      </c>
      <c r="D17" s="42"/>
      <c r="F17" s="27" t="s">
        <v>51</v>
      </c>
      <c r="G17" s="28">
        <f t="shared" si="0"/>
        <v>0.029605263157894735</v>
      </c>
    </row>
    <row r="18" spans="2:7" ht="15" thickBot="1">
      <c r="B18" s="45" t="s">
        <v>31</v>
      </c>
      <c r="C18" s="46">
        <f>C16+C17</f>
        <v>143.3684210526316</v>
      </c>
      <c r="D18" s="47"/>
      <c r="F18" s="27" t="s">
        <v>52</v>
      </c>
      <c r="G18" s="28">
        <f t="shared" si="0"/>
        <v>0.014802631578947368</v>
      </c>
    </row>
    <row r="19" spans="2:7" ht="14.25">
      <c r="B19" s="17"/>
      <c r="F19" s="27" t="s">
        <v>53</v>
      </c>
      <c r="G19" s="28">
        <f t="shared" si="0"/>
        <v>0.007401315789473684</v>
      </c>
    </row>
    <row r="20" spans="2:7" ht="14.25">
      <c r="B20" s="17"/>
      <c r="F20" s="27" t="s">
        <v>54</v>
      </c>
      <c r="G20" s="28">
        <f t="shared" si="0"/>
        <v>0.0037006578947368423</v>
      </c>
    </row>
    <row r="21" spans="6:7" ht="14.25">
      <c r="F21" s="27" t="s">
        <v>55</v>
      </c>
      <c r="G21" s="28">
        <f t="shared" si="0"/>
        <v>0.0018503289473684207</v>
      </c>
    </row>
    <row r="22" spans="6:7" ht="14.25">
      <c r="F22" s="27" t="s">
        <v>56</v>
      </c>
      <c r="G22" s="28">
        <f t="shared" si="0"/>
        <v>0.0009251644736842106</v>
      </c>
    </row>
    <row r="23" spans="6:7" ht="14.25">
      <c r="F23" s="27" t="s">
        <v>57</v>
      </c>
      <c r="G23" s="28">
        <f t="shared" si="0"/>
        <v>0.00046258223684210524</v>
      </c>
    </row>
    <row r="24" spans="6:7" ht="14.25">
      <c r="F24" s="27" t="s">
        <v>58</v>
      </c>
      <c r="G24" s="28">
        <f t="shared" si="0"/>
        <v>0.00023129111842105262</v>
      </c>
    </row>
    <row r="25" spans="6:7" ht="14.25">
      <c r="F25" s="27" t="s">
        <v>59</v>
      </c>
      <c r="G25" s="28">
        <f t="shared" si="0"/>
        <v>0.0001156455592105263</v>
      </c>
    </row>
    <row r="26" spans="6:7" ht="14.25">
      <c r="F26" s="27" t="s">
        <v>60</v>
      </c>
      <c r="G26" s="28">
        <f t="shared" si="0"/>
        <v>5.7822779605263155E-05</v>
      </c>
    </row>
    <row r="27" spans="6:7" ht="14.25">
      <c r="F27" s="27" t="s">
        <v>61</v>
      </c>
      <c r="G27" s="28">
        <f t="shared" si="0"/>
        <v>2.8911389802631577E-05</v>
      </c>
    </row>
    <row r="28" spans="6:7" ht="14.25">
      <c r="F28" s="27" t="s">
        <v>62</v>
      </c>
      <c r="G28" s="28">
        <f t="shared" si="0"/>
        <v>1.4455694901315787E-05</v>
      </c>
    </row>
    <row r="29" spans="6:7" ht="14.25">
      <c r="F29" s="27" t="s">
        <v>63</v>
      </c>
      <c r="G29" s="28">
        <f t="shared" si="0"/>
        <v>7.227847450657894E-06</v>
      </c>
    </row>
    <row r="30" spans="6:7" ht="14.25">
      <c r="F30" s="27" t="s">
        <v>64</v>
      </c>
      <c r="G30" s="28">
        <f t="shared" si="0"/>
        <v>3.6139237253289476E-06</v>
      </c>
    </row>
    <row r="31" spans="6:7" ht="14.25">
      <c r="F31" s="27" t="s">
        <v>65</v>
      </c>
      <c r="G31" s="28">
        <f t="shared" si="0"/>
        <v>1.8069618626644736E-06</v>
      </c>
    </row>
    <row r="32" spans="6:7" ht="14.25">
      <c r="F32" s="27" t="s">
        <v>66</v>
      </c>
      <c r="G32" s="28">
        <f t="shared" si="0"/>
        <v>9.034809313322368E-07</v>
      </c>
    </row>
    <row r="33" spans="6:7" ht="14.25">
      <c r="F33" s="27" t="s">
        <v>67</v>
      </c>
      <c r="G33" s="28">
        <f t="shared" si="0"/>
        <v>4.517404656661184E-07</v>
      </c>
    </row>
    <row r="34" spans="6:7" ht="14.25">
      <c r="F34" s="27" t="s">
        <v>68</v>
      </c>
      <c r="G34" s="28">
        <f t="shared" si="0"/>
        <v>2.258702328330592E-07</v>
      </c>
    </row>
    <row r="35" spans="6:7" ht="14.25">
      <c r="F35" s="27" t="s">
        <v>69</v>
      </c>
      <c r="G35" s="28">
        <f t="shared" si="0"/>
        <v>1.129351164165296E-07</v>
      </c>
    </row>
    <row r="36" spans="6:7" ht="14.25">
      <c r="F36" s="27" t="s">
        <v>70</v>
      </c>
      <c r="G36" s="28">
        <f t="shared" si="0"/>
        <v>5.64675582082648E-08</v>
      </c>
    </row>
    <row r="37" spans="6:7" ht="15" thickBot="1">
      <c r="F37" s="36" t="s">
        <v>71</v>
      </c>
      <c r="G37" s="37">
        <f t="shared" si="0"/>
        <v>2.82337791041324E-08</v>
      </c>
    </row>
    <row r="38" ht="12.75">
      <c r="F38" s="38"/>
    </row>
  </sheetData>
  <dataValidations count="5">
    <dataValidation type="decimal" operator="greaterThanOrEqual" allowBlank="1" showInputMessage="1" showErrorMessage="1" errorTitle="Warning" error="t should be greater than or equal to zero." sqref="C9">
      <formula1>0</formula1>
    </dataValidation>
    <dataValidation type="decimal" operator="greaterThanOrEqual" allowBlank="1" showInputMessage="1" showErrorMessage="1" error="t must be greater than or equal to zero." sqref="C12">
      <formula1>0</formula1>
    </dataValidation>
    <dataValidation type="whole" operator="greaterThanOrEqual" allowBlank="1" showInputMessage="1" showErrorMessage="1" error="The number of servers must be an integer greater than or equal to one." sqref="C6">
      <formula1>1</formula1>
    </dataValidation>
    <dataValidation type="decimal" operator="greaterThan" allowBlank="1" showInputMessage="1" showErrorMessage="1" error="The mean arrival rate must be greater than zero." sqref="C4">
      <formula1>0</formula1>
    </dataValidation>
    <dataValidation type="decimal" operator="greaterThan" allowBlank="1" showInputMessage="1" showErrorMessage="1" error="The mean service rate must be greater than zero." sqref="C5">
      <formula1>0</formula1>
    </dataValidation>
  </dataValidations>
  <printOptions/>
  <pageMargins left="0.75" right="0.75" top="1" bottom="1" header="0.5" footer="0.5"/>
  <pageSetup fitToHeight="1" fitToWidth="1" orientation="landscape" paperSize="9" scale="91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54" customWidth="1"/>
  </cols>
  <sheetData/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"/>
  <sheetViews>
    <sheetView workbookViewId="0" topLeftCell="A1">
      <selection activeCell="C4" sqref="C4"/>
    </sheetView>
  </sheetViews>
  <sheetFormatPr defaultColWidth="9.00390625" defaultRowHeight="12.75"/>
  <cols>
    <col min="1" max="1" width="2.75390625" style="17" customWidth="1"/>
    <col min="2" max="2" width="12.875" style="15" customWidth="1"/>
    <col min="3" max="3" width="9.375" style="16" customWidth="1"/>
    <col min="4" max="4" width="17.625" style="17" customWidth="1"/>
    <col min="5" max="5" width="25.125" style="17" customWidth="1"/>
    <col min="6" max="6" width="5.875" style="15" customWidth="1"/>
    <col min="7" max="7" width="12.00390625" style="17" bestFit="1" customWidth="1"/>
    <col min="8" max="16384" width="10.75390625" style="17" customWidth="1"/>
  </cols>
  <sheetData>
    <row r="1" ht="15.75">
      <c r="A1" s="14" t="s">
        <v>33</v>
      </c>
    </row>
    <row r="3" spans="3:7" ht="13.5" thickBot="1">
      <c r="C3" s="18" t="s">
        <v>0</v>
      </c>
      <c r="F3" s="19" t="s">
        <v>1</v>
      </c>
      <c r="G3" s="19"/>
    </row>
    <row r="4" spans="2:7" ht="12.75">
      <c r="B4" s="1" t="s">
        <v>2</v>
      </c>
      <c r="C4" s="20">
        <v>60</v>
      </c>
      <c r="D4" s="21" t="s">
        <v>23</v>
      </c>
      <c r="F4" s="22" t="s">
        <v>3</v>
      </c>
      <c r="G4" s="23">
        <f>IF(G10&lt;1,G5+C4/C5,NA())</f>
        <v>2.888888888888889</v>
      </c>
    </row>
    <row r="5" spans="2:7" ht="14.25">
      <c r="B5" s="2" t="s">
        <v>4</v>
      </c>
      <c r="C5" s="25">
        <v>30</v>
      </c>
      <c r="D5" s="26" t="s">
        <v>24</v>
      </c>
      <c r="F5" s="27" t="s">
        <v>42</v>
      </c>
      <c r="G5" s="28">
        <f>IF(G10&lt;1,C4*C5*((C4/C5)^C6)/(FACT(C6-1)*(C6*C5-C4)^2/G12),NA())</f>
        <v>0.8888888888888888</v>
      </c>
    </row>
    <row r="6" spans="2:7" ht="13.5" thickBot="1">
      <c r="B6" s="29" t="s">
        <v>5</v>
      </c>
      <c r="C6" s="30">
        <v>3</v>
      </c>
      <c r="D6" s="31" t="s">
        <v>6</v>
      </c>
      <c r="F6" s="27"/>
      <c r="G6" s="28"/>
    </row>
    <row r="7" spans="3:7" ht="13.5" thickBot="1">
      <c r="C7" s="32"/>
      <c r="F7" s="27" t="s">
        <v>7</v>
      </c>
      <c r="G7" s="28">
        <f>IF(G10&lt;1,G4/C4,NA())</f>
        <v>0.04814814814814815</v>
      </c>
    </row>
    <row r="8" spans="2:7" ht="14.25">
      <c r="B8" s="22" t="s">
        <v>76</v>
      </c>
      <c r="C8" s="33">
        <f>IF((C6-1-C4/C5)=0,EXP(-C5*C9)*(1+G12*((C4/C5)^C6)/(FACT(C6)*(1-G10))*C5*C9),EXP(-C5*C9)*(1+G12*((C4/C5)^C6)/(FACT(C6)*(1-G10))*(1-EXP(-C5*C9*(C6-1-C4/C5)))/(C6-1-C4/C5)))</f>
        <v>1.3412592922004248E-12</v>
      </c>
      <c r="D8" s="34"/>
      <c r="F8" s="27" t="s">
        <v>44</v>
      </c>
      <c r="G8" s="28">
        <f>IF(G10&lt;1,G5/C4,NA())</f>
        <v>0.014814814814814814</v>
      </c>
    </row>
    <row r="9" spans="2:7" ht="13.5" thickBot="1">
      <c r="B9" s="29" t="s">
        <v>8</v>
      </c>
      <c r="C9" s="35">
        <v>1</v>
      </c>
      <c r="E9" s="119">
        <f>IF(G10&gt;=1,"Model invalid because:","")</f>
      </c>
      <c r="F9" s="27"/>
      <c r="G9" s="28"/>
    </row>
    <row r="10" spans="5:7" ht="16.5" thickBot="1">
      <c r="E10" s="120">
        <f>IF(G10&gt;=1,"   r   &gt;=   1","")</f>
      </c>
      <c r="F10" s="9" t="s">
        <v>9</v>
      </c>
      <c r="G10" s="28">
        <f>C4/(C6*C5)</f>
        <v>0.6666666666666666</v>
      </c>
    </row>
    <row r="11" spans="2:7" ht="12.75" customHeight="1">
      <c r="B11" s="22" t="s">
        <v>77</v>
      </c>
      <c r="C11" s="33">
        <f ca="1">(1-SUM(OFFSET(G12,0,0,C6,1)))*EXP(-C6*C5*(1-G10)*C12)</f>
        <v>4.158943541706729E-14</v>
      </c>
      <c r="F11" s="27"/>
      <c r="G11" s="28"/>
    </row>
    <row r="12" spans="1:7" ht="15" thickBot="1">
      <c r="A12" s="118">
        <v>0</v>
      </c>
      <c r="B12" s="36" t="s">
        <v>8</v>
      </c>
      <c r="C12" s="35">
        <v>1</v>
      </c>
      <c r="F12" s="27" t="s">
        <v>46</v>
      </c>
      <c r="G12" s="28">
        <f>IF(G10&lt;1,1/(sumxpf(C4/C5,0,C6-1)+((C4/C5)^C6)/(FACT(C6)*(1-C4/(C6*C5)))),NA())</f>
        <v>0.1111111111111111</v>
      </c>
    </row>
    <row r="13" spans="1:7" ht="14.25">
      <c r="A13" s="118">
        <v>1</v>
      </c>
      <c r="F13" s="27" t="s">
        <v>47</v>
      </c>
      <c r="G13" s="28">
        <f>IF(G10&lt;1,IF($C$6=1,(1-$G$10)*$G$10^ROW(G1),IF($C$6&gt;=ROW(G1),(($C$4/$C$5)^ROW(G1))*$G$12/FACT(ROW(G1)),(($C$4/$C$5)^ROW(G1))*$G$12/(FACT($C$6)*($C$6^(ROW(G1)-$C$6))))),NA())</f>
        <v>0.2222222222222222</v>
      </c>
    </row>
    <row r="14" spans="1:7" ht="14.25">
      <c r="A14" s="118">
        <v>2</v>
      </c>
      <c r="B14" s="34"/>
      <c r="C14" s="34"/>
      <c r="F14" s="27" t="s">
        <v>48</v>
      </c>
      <c r="G14" s="28">
        <f>IF(G11&lt;1,IF($C$6=1,(1-$G$10)*$G$10^ROW(G2),IF($C$6&gt;=ROW(G2),(($C$4/$C$5)^ROW(G2))*$G$12/FACT(ROW(G2)),(($C$4/$C$5)^ROW(G2))*$G$12/(FACT($C$6)*($C$6^(ROW(G2)-$C$6))))),NA())</f>
        <v>0.2222222222222222</v>
      </c>
    </row>
    <row r="15" spans="1:7" ht="14.25">
      <c r="A15" s="118">
        <v>3</v>
      </c>
      <c r="B15" s="34"/>
      <c r="C15" s="34"/>
      <c r="F15" s="27" t="s">
        <v>49</v>
      </c>
      <c r="G15" s="28">
        <f aca="true" t="shared" si="0" ref="G15:G28">IF(G12&lt;1,IF($C$6=1,(1-$G$10)*$G$10^ROW(G3),IF($C$6&gt;=ROW(G3),(($C$4/$C$5)^ROW(G3))*$G$12/FACT(ROW(G3)),(($C$4/$C$5)^ROW(G3))*$G$12/(FACT($C$6)*($C$6^(ROW(G3)-$C$6))))),NA())</f>
        <v>0.14814814814814814</v>
      </c>
    </row>
    <row r="16" spans="1:7" ht="14.25">
      <c r="A16" s="118">
        <v>4</v>
      </c>
      <c r="B16" s="17"/>
      <c r="C16" s="17"/>
      <c r="F16" s="27" t="s">
        <v>50</v>
      </c>
      <c r="G16" s="28">
        <f t="shared" si="0"/>
        <v>0.09876543209876543</v>
      </c>
    </row>
    <row r="17" spans="1:7" ht="14.25">
      <c r="A17" s="118">
        <v>5</v>
      </c>
      <c r="B17" s="17"/>
      <c r="C17" s="17"/>
      <c r="F17" s="27" t="s">
        <v>51</v>
      </c>
      <c r="G17" s="28">
        <f t="shared" si="0"/>
        <v>0.06584362139917695</v>
      </c>
    </row>
    <row r="18" spans="1:7" ht="14.25">
      <c r="A18" s="118">
        <v>6</v>
      </c>
      <c r="B18" s="17"/>
      <c r="F18" s="27" t="s">
        <v>52</v>
      </c>
      <c r="G18" s="28">
        <f t="shared" si="0"/>
        <v>0.0438957475994513</v>
      </c>
    </row>
    <row r="19" spans="1:7" ht="14.25">
      <c r="A19" s="118">
        <v>7</v>
      </c>
      <c r="B19" s="17"/>
      <c r="F19" s="27" t="s">
        <v>53</v>
      </c>
      <c r="G19" s="28">
        <f t="shared" si="0"/>
        <v>0.029263831732967534</v>
      </c>
    </row>
    <row r="20" spans="1:7" ht="14.25">
      <c r="A20" s="118">
        <v>8</v>
      </c>
      <c r="B20" s="17"/>
      <c r="F20" s="27" t="s">
        <v>54</v>
      </c>
      <c r="G20" s="28">
        <f t="shared" si="0"/>
        <v>0.01950922115531169</v>
      </c>
    </row>
    <row r="21" spans="1:7" ht="14.25">
      <c r="A21" s="118">
        <v>9</v>
      </c>
      <c r="F21" s="27" t="s">
        <v>55</v>
      </c>
      <c r="G21" s="28">
        <f t="shared" si="0"/>
        <v>0.01300614743687446</v>
      </c>
    </row>
    <row r="22" spans="1:7" ht="14.25">
      <c r="A22" s="118">
        <v>10</v>
      </c>
      <c r="F22" s="27" t="s">
        <v>56</v>
      </c>
      <c r="G22" s="28">
        <f t="shared" si="0"/>
        <v>0.008670764957916306</v>
      </c>
    </row>
    <row r="23" spans="1:7" ht="14.25">
      <c r="A23" s="118">
        <v>11</v>
      </c>
      <c r="F23" s="27" t="s">
        <v>57</v>
      </c>
      <c r="G23" s="28">
        <f t="shared" si="0"/>
        <v>0.0057805099719442045</v>
      </c>
    </row>
    <row r="24" spans="1:7" ht="14.25">
      <c r="A24" s="118">
        <v>12</v>
      </c>
      <c r="F24" s="27" t="s">
        <v>58</v>
      </c>
      <c r="G24" s="28">
        <f t="shared" si="0"/>
        <v>0.0038536733146294693</v>
      </c>
    </row>
    <row r="25" spans="1:7" ht="14.25">
      <c r="A25" s="118">
        <v>13</v>
      </c>
      <c r="F25" s="27" t="s">
        <v>59</v>
      </c>
      <c r="G25" s="28">
        <f t="shared" si="0"/>
        <v>0.002569115543086313</v>
      </c>
    </row>
    <row r="26" spans="1:7" ht="14.25">
      <c r="A26" s="118">
        <v>14</v>
      </c>
      <c r="F26" s="27" t="s">
        <v>60</v>
      </c>
      <c r="G26" s="28">
        <f t="shared" si="0"/>
        <v>0.0017127436953908754</v>
      </c>
    </row>
    <row r="27" spans="1:7" ht="14.25">
      <c r="A27" s="118">
        <v>15</v>
      </c>
      <c r="F27" s="27" t="s">
        <v>61</v>
      </c>
      <c r="G27" s="28">
        <f t="shared" si="0"/>
        <v>0.0011418291302605836</v>
      </c>
    </row>
    <row r="28" spans="1:7" ht="14.25">
      <c r="A28" s="118">
        <v>16</v>
      </c>
      <c r="F28" s="27" t="s">
        <v>62</v>
      </c>
      <c r="G28" s="28">
        <f t="shared" si="0"/>
        <v>0.0007612194201737224</v>
      </c>
    </row>
    <row r="29" spans="1:7" ht="14.25">
      <c r="A29" s="118">
        <v>17</v>
      </c>
      <c r="F29" s="27" t="s">
        <v>63</v>
      </c>
      <c r="G29" s="28">
        <f>IF(G26&lt;1,IF($C$6=1,(1-$G$10)*$G$10^ROW(G17),IF($C$6&gt;=ROW(G17),(($C$4/$C$5)^ROW(G17))*$G$12/FACT(ROW(G17)),(($C$4/$C$5)^ROW(G17))*$G$12/(FACT($C$6)*($C$6^(ROW(G17)-$C$6))))),NA())</f>
        <v>0.0005074796134491483</v>
      </c>
    </row>
    <row r="30" spans="1:7" ht="14.25">
      <c r="A30" s="118">
        <v>18</v>
      </c>
      <c r="F30" s="27" t="s">
        <v>64</v>
      </c>
      <c r="G30" s="28">
        <f>IF(G27&lt;1,IF($C$6=1,(1-$G$10)*$G$10^ROW(G18),IF($C$6&gt;=ROW(G18),(($C$4/$C$5)^ROW(G18))*$G$12/FACT(ROW(G18)),(($C$4/$C$5)^ROW(G18))*$G$12/(FACT($C$6)*($C$6^(ROW(G18)-$C$6))))),NA())</f>
        <v>0.00033831974229943216</v>
      </c>
    </row>
    <row r="31" spans="1:7" ht="14.25">
      <c r="A31" s="118">
        <v>19</v>
      </c>
      <c r="F31" s="27" t="s">
        <v>65</v>
      </c>
      <c r="G31" s="28">
        <f aca="true" t="shared" si="1" ref="G31:G37">IF(G28&lt;1,IF($C$6=1,(1-$G$10)*$G$10^ROW(G19),IF($C$6&gt;=ROW(G19),(($C$4/$C$5)^ROW(G19))*$G$12/FACT(ROW(G19)),(($C$4/$C$5)^ROW(G19))*$G$12/(FACT($C$6)*($C$6^(ROW(G19)-$C$6))))),NA())</f>
        <v>0.0002255464948662881</v>
      </c>
    </row>
    <row r="32" spans="1:7" ht="14.25">
      <c r="A32" s="118">
        <v>20</v>
      </c>
      <c r="F32" s="27" t="s">
        <v>66</v>
      </c>
      <c r="G32" s="28">
        <f t="shared" si="1"/>
        <v>0.00015036432991085875</v>
      </c>
    </row>
    <row r="33" spans="1:7" ht="14.25">
      <c r="A33" s="118">
        <v>21</v>
      </c>
      <c r="F33" s="27" t="s">
        <v>67</v>
      </c>
      <c r="G33" s="28">
        <f t="shared" si="1"/>
        <v>0.00010024288660723916</v>
      </c>
    </row>
    <row r="34" spans="1:7" ht="14.25">
      <c r="A34" s="118">
        <v>22</v>
      </c>
      <c r="F34" s="27" t="s">
        <v>68</v>
      </c>
      <c r="G34" s="28">
        <f t="shared" si="1"/>
        <v>6.682859107149277E-05</v>
      </c>
    </row>
    <row r="35" spans="1:7" ht="14.25">
      <c r="A35" s="118">
        <v>23</v>
      </c>
      <c r="F35" s="27" t="s">
        <v>69</v>
      </c>
      <c r="G35" s="28">
        <f t="shared" si="1"/>
        <v>4.455239404766185E-05</v>
      </c>
    </row>
    <row r="36" spans="1:7" ht="14.25">
      <c r="A36" s="118">
        <v>24</v>
      </c>
      <c r="F36" s="27" t="s">
        <v>70</v>
      </c>
      <c r="G36" s="28">
        <f t="shared" si="1"/>
        <v>2.9701596031774567E-05</v>
      </c>
    </row>
    <row r="37" spans="1:7" ht="15" thickBot="1">
      <c r="A37" s="118">
        <v>25</v>
      </c>
      <c r="F37" s="36" t="s">
        <v>71</v>
      </c>
      <c r="G37" s="37">
        <f t="shared" si="1"/>
        <v>1.9801064021183045E-05</v>
      </c>
    </row>
    <row r="38" ht="12.75">
      <c r="F38" s="38"/>
    </row>
  </sheetData>
  <dataValidations count="5">
    <dataValidation type="decimal" operator="greaterThanOrEqual" allowBlank="1" showInputMessage="1" showErrorMessage="1" errorTitle="Warning" error="t must be greater than or equal to 0." sqref="C9">
      <formula1>0</formula1>
    </dataValidation>
    <dataValidation type="decimal" operator="greaterThanOrEqual" allowBlank="1" showInputMessage="1" showErrorMessage="1" error="t must be greater than or equal to 0." sqref="C12">
      <formula1>0</formula1>
    </dataValidation>
    <dataValidation type="whole" operator="greaterThanOrEqual" allowBlank="1" showInputMessage="1" showErrorMessage="1" error="The number of servers must be an integer greater than or equal to one." sqref="C6">
      <formula1>1</formula1>
    </dataValidation>
    <dataValidation type="decimal" operator="greaterThan" allowBlank="1" showInputMessage="1" showErrorMessage="1" error="The mean arrival rate must be greater than zero." sqref="C4">
      <formula1>0</formula1>
    </dataValidation>
    <dataValidation type="decimal" operator="greaterThan" allowBlank="1" showInputMessage="1" showErrorMessage="1" error="The mean service rate must be greater than zero." sqref="C5">
      <formula1>0</formula1>
    </dataValidation>
  </dataValidations>
  <printOptions/>
  <pageMargins left="0.75" right="0.75" top="1" bottom="1" header="0.5" footer="0.5"/>
  <pageSetup fitToHeight="1" fitToWidth="1" orientation="landscape" paperSize="9" scale="9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0"/>
  <sheetViews>
    <sheetView workbookViewId="0" topLeftCell="A1">
      <selection activeCell="C4" sqref="C4"/>
    </sheetView>
  </sheetViews>
  <sheetFormatPr defaultColWidth="9.00390625" defaultRowHeight="12.75"/>
  <cols>
    <col min="1" max="1" width="2.75390625" style="17" customWidth="1"/>
    <col min="2" max="2" width="10.75390625" style="15" customWidth="1"/>
    <col min="3" max="3" width="9.375" style="16" customWidth="1"/>
    <col min="4" max="4" width="17.875" style="17" customWidth="1"/>
    <col min="5" max="5" width="4.75390625" style="17" customWidth="1"/>
    <col min="6" max="6" width="5.875" style="15" customWidth="1"/>
    <col min="7" max="16384" width="10.75390625" style="17" customWidth="1"/>
  </cols>
  <sheetData>
    <row r="1" ht="15.75">
      <c r="A1" s="14" t="s">
        <v>34</v>
      </c>
    </row>
    <row r="3" spans="3:7" ht="13.5" thickBot="1">
      <c r="C3" s="58" t="s">
        <v>0</v>
      </c>
      <c r="F3" s="111" t="s">
        <v>1</v>
      </c>
      <c r="G3" s="111"/>
    </row>
    <row r="4" spans="2:7" ht="12.75">
      <c r="B4" s="7" t="s">
        <v>2</v>
      </c>
      <c r="C4" s="20">
        <v>3</v>
      </c>
      <c r="D4" s="40" t="s">
        <v>23</v>
      </c>
      <c r="F4" s="112" t="s">
        <v>3</v>
      </c>
      <c r="G4" s="113">
        <f>IF(G10&lt;1,G5+C4*C5,NA())</f>
        <v>1.1625000000000005</v>
      </c>
    </row>
    <row r="5" spans="2:7" ht="14.25">
      <c r="B5" s="8" t="s">
        <v>10</v>
      </c>
      <c r="C5" s="25">
        <v>0.2</v>
      </c>
      <c r="D5" s="42" t="s">
        <v>25</v>
      </c>
      <c r="F5" s="43" t="s">
        <v>42</v>
      </c>
      <c r="G5" s="57">
        <f>IF(G10&lt;1,((C4^2)*(C6^2)+(G10^2))/(2*(1-G10)),NA())</f>
        <v>0.5625000000000003</v>
      </c>
    </row>
    <row r="6" spans="2:7" ht="12.75">
      <c r="B6" s="8" t="s">
        <v>5</v>
      </c>
      <c r="C6" s="25">
        <v>0.1</v>
      </c>
      <c r="D6" s="42" t="s">
        <v>11</v>
      </c>
      <c r="F6" s="43"/>
      <c r="G6" s="57"/>
    </row>
    <row r="7" spans="2:7" ht="13.5" thickBot="1">
      <c r="B7" s="114" t="s">
        <v>5</v>
      </c>
      <c r="C7" s="115">
        <v>1</v>
      </c>
      <c r="D7" s="47" t="s">
        <v>6</v>
      </c>
      <c r="F7" s="43" t="s">
        <v>7</v>
      </c>
      <c r="G7" s="57">
        <f>IF(G10&lt;1,G4/C4,NA())</f>
        <v>0.3875000000000002</v>
      </c>
    </row>
    <row r="8" spans="2:7" ht="14.25">
      <c r="B8" s="17"/>
      <c r="C8" s="17"/>
      <c r="F8" s="43" t="s">
        <v>44</v>
      </c>
      <c r="G8" s="57">
        <f>IF(G10&lt;1,G5/C4,NA())</f>
        <v>0.1875000000000001</v>
      </c>
    </row>
    <row r="9" spans="2:7" ht="12.75">
      <c r="B9" s="54"/>
      <c r="C9" s="54"/>
      <c r="D9" s="54"/>
      <c r="E9" s="54"/>
      <c r="F9" s="43"/>
      <c r="G9" s="57"/>
    </row>
    <row r="10" spans="4:7" ht="12.75">
      <c r="D10" s="119">
        <f>IF(G10&gt;=1,"Model invalid because:","")</f>
      </c>
      <c r="F10" s="10" t="s">
        <v>9</v>
      </c>
      <c r="G10" s="57">
        <f>C4*C5</f>
        <v>0.6000000000000001</v>
      </c>
    </row>
    <row r="11" spans="4:7" ht="15.75">
      <c r="D11" s="120">
        <f>IF(G10&gt;=1,"   r   &gt;=   1","")</f>
      </c>
      <c r="F11" s="43"/>
      <c r="G11" s="57"/>
    </row>
    <row r="12" spans="3:7" ht="15" thickBot="1">
      <c r="C12" s="58"/>
      <c r="D12" s="116"/>
      <c r="E12" s="116"/>
      <c r="F12" s="45" t="s">
        <v>46</v>
      </c>
      <c r="G12" s="117">
        <f>IF(G10&lt;1,1-G10,NA())</f>
        <v>0.3999999999999999</v>
      </c>
    </row>
    <row r="15" ht="12.75">
      <c r="C15" s="58"/>
    </row>
    <row r="16" spans="2:3" ht="12.75">
      <c r="B16" s="17"/>
      <c r="C16" s="17"/>
    </row>
    <row r="17" spans="2:3" ht="12.75">
      <c r="B17" s="17"/>
      <c r="C17" s="17"/>
    </row>
    <row r="18" ht="12.75">
      <c r="B18" s="17"/>
    </row>
    <row r="19" ht="12.75">
      <c r="B19" s="17"/>
    </row>
    <row r="20" ht="12.75">
      <c r="B20" s="17"/>
    </row>
  </sheetData>
  <dataValidations count="4">
    <dataValidation type="decimal" operator="greaterThan" allowBlank="1" showInputMessage="1" showErrorMessage="1" error="The mean arrival rate must be greater than zero." sqref="C4">
      <formula1>0</formula1>
    </dataValidation>
    <dataValidation type="decimal" operator="greaterThan" allowBlank="1" showInputMessage="1" showErrorMessage="1" error="The expected service time must be greater than  zero." sqref="C5">
      <formula1>0</formula1>
    </dataValidation>
    <dataValidation type="decimal" operator="greaterThanOrEqual" allowBlank="1" showInputMessage="1" showErrorMessage="1" error="The standard deviation of service time must be greater than or equal to zero." sqref="C6">
      <formula1>0</formula1>
    </dataValidation>
    <dataValidation type="whole" operator="equal" allowBlank="1" showInputMessage="1" showErrorMessage="1" error="The number of servers must equal one." sqref="C7">
      <formula1>1</formula1>
    </dataValidation>
  </dataValidations>
  <printOptions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0"/>
  <sheetViews>
    <sheetView workbookViewId="0" topLeftCell="A1">
      <selection activeCell="C4" sqref="C4"/>
    </sheetView>
  </sheetViews>
  <sheetFormatPr defaultColWidth="9.00390625" defaultRowHeight="12.75"/>
  <cols>
    <col min="1" max="1" width="2.75390625" style="54" customWidth="1"/>
    <col min="2" max="2" width="10.75390625" style="60" customWidth="1"/>
    <col min="3" max="3" width="9.375" style="61" customWidth="1"/>
    <col min="4" max="4" width="17.25390625" style="54" customWidth="1"/>
    <col min="5" max="5" width="4.75390625" style="54" customWidth="1"/>
    <col min="6" max="6" width="5.875" style="60" customWidth="1"/>
    <col min="7" max="16384" width="10.75390625" style="54" customWidth="1"/>
  </cols>
  <sheetData>
    <row r="1" ht="15.75">
      <c r="A1" s="59" t="s">
        <v>35</v>
      </c>
    </row>
    <row r="3" spans="3:7" ht="13.5" thickBot="1">
      <c r="C3" s="62" t="s">
        <v>0</v>
      </c>
      <c r="F3" s="63" t="s">
        <v>1</v>
      </c>
      <c r="G3" s="63"/>
    </row>
    <row r="4" spans="2:7" ht="12.75">
      <c r="B4" s="3" t="s">
        <v>2</v>
      </c>
      <c r="C4" s="81">
        <v>20</v>
      </c>
      <c r="D4" s="65" t="s">
        <v>23</v>
      </c>
      <c r="F4" s="67" t="s">
        <v>3</v>
      </c>
      <c r="G4" s="68">
        <f>IF(G10&lt;1,G5+C4/C5,NA())</f>
        <v>1.333333333333333</v>
      </c>
    </row>
    <row r="5" spans="2:7" ht="14.25">
      <c r="B5" s="4" t="s">
        <v>4</v>
      </c>
      <c r="C5" s="84">
        <v>30</v>
      </c>
      <c r="D5" s="70" t="s">
        <v>24</v>
      </c>
      <c r="F5" s="71" t="s">
        <v>42</v>
      </c>
      <c r="G5" s="72">
        <f>IF(G10&lt;1,(G10^2)/(2*(1-G10)),NA())</f>
        <v>0.6666666666666665</v>
      </c>
    </row>
    <row r="6" spans="2:7" ht="13.5" thickBot="1">
      <c r="B6" s="73" t="s">
        <v>5</v>
      </c>
      <c r="C6" s="86">
        <v>1</v>
      </c>
      <c r="D6" s="74" t="s">
        <v>6</v>
      </c>
      <c r="F6" s="71"/>
      <c r="G6" s="72"/>
    </row>
    <row r="7" spans="3:7" ht="12.75">
      <c r="C7" s="62"/>
      <c r="F7" s="71" t="s">
        <v>7</v>
      </c>
      <c r="G7" s="72">
        <f>IF(G10&lt;1,G4/C4,NA())</f>
        <v>0.06666666666666665</v>
      </c>
    </row>
    <row r="8" spans="2:7" ht="14.25">
      <c r="B8" s="54"/>
      <c r="C8" s="54"/>
      <c r="F8" s="71" t="s">
        <v>44</v>
      </c>
      <c r="G8" s="72">
        <f>IF(G10&lt;1,G5/C4,NA())</f>
        <v>0.033333333333333326</v>
      </c>
    </row>
    <row r="9" spans="2:7" ht="12.75">
      <c r="B9" s="54"/>
      <c r="C9" s="54"/>
      <c r="F9" s="71"/>
      <c r="G9" s="72"/>
    </row>
    <row r="10" spans="4:7" ht="12.75">
      <c r="D10" s="119">
        <f>IF(G10&gt;=1,"Model invalid because:","")</f>
      </c>
      <c r="F10" s="11" t="s">
        <v>9</v>
      </c>
      <c r="G10" s="72">
        <f>C4/C5</f>
        <v>0.6666666666666666</v>
      </c>
    </row>
    <row r="11" spans="4:7" ht="15.75">
      <c r="D11" s="120">
        <f>IF(G10&gt;=1,"   r   &gt;=   1","")</f>
      </c>
      <c r="F11" s="71"/>
      <c r="G11" s="72"/>
    </row>
    <row r="12" spans="3:7" ht="15" thickBot="1">
      <c r="C12" s="62"/>
      <c r="F12" s="79" t="s">
        <v>46</v>
      </c>
      <c r="G12" s="80">
        <f>IF(G10&lt;1,1-G10,NA())</f>
        <v>0.33333333333333337</v>
      </c>
    </row>
    <row r="15" ht="12.75">
      <c r="C15" s="62"/>
    </row>
    <row r="16" spans="2:3" ht="12.75">
      <c r="B16" s="54"/>
      <c r="C16" s="54"/>
    </row>
    <row r="17" spans="2:3" ht="12.75">
      <c r="B17" s="54"/>
      <c r="C17" s="54"/>
    </row>
    <row r="18" ht="12.75">
      <c r="B18" s="54"/>
    </row>
    <row r="19" ht="12.75">
      <c r="B19" s="54"/>
    </row>
    <row r="20" ht="12.75">
      <c r="B20" s="54"/>
    </row>
  </sheetData>
  <dataValidations count="3">
    <dataValidation type="decimal" operator="greaterThan" allowBlank="1" showInputMessage="1" showErrorMessage="1" error="The arrival rate must be greater than zero." sqref="C4">
      <formula1>0</formula1>
    </dataValidation>
    <dataValidation type="decimal" operator="greaterThan" allowBlank="1" showInputMessage="1" showErrorMessage="1" error="The mean service rate must be greater than zero." sqref="C5">
      <formula1>0</formula1>
    </dataValidation>
    <dataValidation type="decimal" operator="equal" allowBlank="1" showInputMessage="1" showErrorMessage="1" error="The number of servers must equal one." sqref="C6">
      <formula1>1</formula1>
    </dataValidation>
  </dataValidations>
  <printOptions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20"/>
  <sheetViews>
    <sheetView workbookViewId="0" topLeftCell="A1">
      <selection activeCell="C4" sqref="C4"/>
    </sheetView>
  </sheetViews>
  <sheetFormatPr defaultColWidth="9.00390625" defaultRowHeight="12.75"/>
  <cols>
    <col min="1" max="1" width="2.75390625" style="54" customWidth="1"/>
    <col min="2" max="2" width="10.75390625" style="60" customWidth="1"/>
    <col min="3" max="3" width="9.375" style="61" customWidth="1"/>
    <col min="4" max="4" width="17.25390625" style="54" customWidth="1"/>
    <col min="5" max="5" width="4.75390625" style="54" customWidth="1"/>
    <col min="6" max="6" width="5.875" style="60" customWidth="1"/>
    <col min="7" max="16384" width="10.75390625" style="54" customWidth="1"/>
  </cols>
  <sheetData>
    <row r="1" ht="15.75">
      <c r="A1" s="59" t="s">
        <v>36</v>
      </c>
    </row>
    <row r="3" spans="3:7" ht="13.5" thickBot="1">
      <c r="C3" s="62" t="s">
        <v>0</v>
      </c>
      <c r="F3" s="63" t="s">
        <v>1</v>
      </c>
      <c r="G3" s="63"/>
    </row>
    <row r="4" spans="2:7" ht="12.75">
      <c r="B4" s="3" t="s">
        <v>2</v>
      </c>
      <c r="C4" s="81">
        <v>1</v>
      </c>
      <c r="D4" s="65" t="s">
        <v>23</v>
      </c>
      <c r="E4" s="66"/>
      <c r="F4" s="67" t="s">
        <v>3</v>
      </c>
      <c r="G4" s="68">
        <f>IF(G10&lt;1,G5+C4/C5,NA())</f>
        <v>1</v>
      </c>
    </row>
    <row r="5" spans="2:7" ht="14.25">
      <c r="B5" s="4" t="s">
        <v>4</v>
      </c>
      <c r="C5" s="84">
        <v>2</v>
      </c>
      <c r="D5" s="70" t="s">
        <v>24</v>
      </c>
      <c r="E5" s="66"/>
      <c r="F5" s="71" t="s">
        <v>42</v>
      </c>
      <c r="G5" s="72">
        <f>IF(G10&lt;1,(C6+1)/(2*C6)*(G10^2)/(1-G10),NA())</f>
        <v>0.5</v>
      </c>
    </row>
    <row r="6" spans="2:7" ht="12.75">
      <c r="B6" s="69" t="s">
        <v>12</v>
      </c>
      <c r="C6" s="84">
        <v>1</v>
      </c>
      <c r="D6" s="70" t="s">
        <v>13</v>
      </c>
      <c r="E6" s="66"/>
      <c r="F6" s="71"/>
      <c r="G6" s="72"/>
    </row>
    <row r="7" spans="2:7" ht="13.5" thickBot="1">
      <c r="B7" s="73" t="s">
        <v>5</v>
      </c>
      <c r="C7" s="86">
        <v>1</v>
      </c>
      <c r="D7" s="74" t="s">
        <v>6</v>
      </c>
      <c r="E7" s="66"/>
      <c r="F7" s="71" t="s">
        <v>7</v>
      </c>
      <c r="G7" s="72">
        <f>IF(G10&lt;1,G4/C4,NA())</f>
        <v>1</v>
      </c>
    </row>
    <row r="8" spans="2:7" ht="14.25">
      <c r="B8" s="54"/>
      <c r="C8" s="54"/>
      <c r="F8" s="71" t="s">
        <v>44</v>
      </c>
      <c r="G8" s="72">
        <f>IF(G10&lt;1,G5/C4,NA())</f>
        <v>0.5</v>
      </c>
    </row>
    <row r="9" spans="2:7" ht="12.75">
      <c r="B9" s="54"/>
      <c r="C9" s="54"/>
      <c r="F9" s="71"/>
      <c r="G9" s="72"/>
    </row>
    <row r="10" spans="4:7" ht="12.75">
      <c r="D10" s="119">
        <f>IF(G10&gt;=1,"Model invalid because:","")</f>
      </c>
      <c r="F10" s="11" t="s">
        <v>9</v>
      </c>
      <c r="G10" s="72">
        <f>C4/C5</f>
        <v>0.5</v>
      </c>
    </row>
    <row r="11" spans="4:7" ht="15.75">
      <c r="D11" s="120">
        <f>IF(G10&gt;=1,"   r   &gt;=   1","")</f>
      </c>
      <c r="F11" s="71"/>
      <c r="G11" s="72"/>
    </row>
    <row r="12" spans="3:7" ht="15" thickBot="1">
      <c r="C12" s="62"/>
      <c r="F12" s="79" t="s">
        <v>46</v>
      </c>
      <c r="G12" s="80">
        <f>IF(G10&lt;1,1-G10,NA())</f>
        <v>0.5</v>
      </c>
    </row>
    <row r="15" ht="12.75">
      <c r="C15" s="62"/>
    </row>
    <row r="16" spans="2:3" ht="12.75">
      <c r="B16" s="54"/>
      <c r="C16" s="54"/>
    </row>
    <row r="17" spans="2:3" ht="12.75">
      <c r="B17" s="54"/>
      <c r="C17" s="54"/>
    </row>
    <row r="18" ht="12.75">
      <c r="B18" s="54"/>
    </row>
    <row r="19" ht="12.75">
      <c r="B19" s="54"/>
    </row>
    <row r="20" ht="12.75">
      <c r="B20" s="54"/>
    </row>
  </sheetData>
  <dataValidations count="1">
    <dataValidation type="whole" operator="equal" allowBlank="1" showInputMessage="1" showErrorMessage="1" error="The number of servers must equal one." sqref="C7">
      <formula1>1</formula1>
    </dataValidation>
  </dataValidations>
  <printOptions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23"/>
  <sheetViews>
    <sheetView workbookViewId="0" topLeftCell="A1">
      <selection activeCell="C4" sqref="C4"/>
    </sheetView>
  </sheetViews>
  <sheetFormatPr defaultColWidth="9.00390625" defaultRowHeight="12.75"/>
  <cols>
    <col min="1" max="1" width="2.75390625" style="54" customWidth="1"/>
    <col min="2" max="2" width="14.125" style="60" customWidth="1"/>
    <col min="3" max="3" width="9.75390625" style="61" customWidth="1"/>
    <col min="4" max="4" width="9.75390625" style="54" customWidth="1"/>
    <col min="5" max="5" width="9.75390625" style="60" customWidth="1"/>
    <col min="6" max="7" width="9.75390625" style="54" customWidth="1"/>
    <col min="8" max="16384" width="10.75390625" style="54" customWidth="1"/>
  </cols>
  <sheetData>
    <row r="1" ht="15.75">
      <c r="A1" s="59" t="s">
        <v>37</v>
      </c>
    </row>
    <row r="3" ht="13.5" thickBot="1">
      <c r="C3" s="62"/>
    </row>
    <row r="4" spans="2:5" ht="12.75">
      <c r="B4" s="64" t="s">
        <v>26</v>
      </c>
      <c r="C4" s="81">
        <v>2</v>
      </c>
      <c r="D4" s="82" t="s">
        <v>15</v>
      </c>
      <c r="E4" s="83"/>
    </row>
    <row r="5" spans="2:5" ht="12.75">
      <c r="B5" s="4" t="s">
        <v>4</v>
      </c>
      <c r="C5" s="84">
        <v>4</v>
      </c>
      <c r="D5" s="66" t="s">
        <v>24</v>
      </c>
      <c r="E5" s="85"/>
    </row>
    <row r="6" spans="2:5" ht="13.5" thickBot="1">
      <c r="B6" s="73" t="s">
        <v>5</v>
      </c>
      <c r="C6" s="104">
        <v>1</v>
      </c>
      <c r="D6" s="87" t="s">
        <v>6</v>
      </c>
      <c r="E6" s="88"/>
    </row>
    <row r="8" ht="13.5" thickBot="1">
      <c r="D8" s="62"/>
    </row>
    <row r="9" spans="2:8" ht="14.25">
      <c r="B9" s="105"/>
      <c r="C9" s="6" t="s">
        <v>74</v>
      </c>
      <c r="D9" s="90" t="s">
        <v>16</v>
      </c>
      <c r="E9" s="91" t="s">
        <v>17</v>
      </c>
      <c r="F9" s="91" t="s">
        <v>18</v>
      </c>
      <c r="G9" s="92" t="s">
        <v>19</v>
      </c>
      <c r="H9" s="106"/>
    </row>
    <row r="10" spans="2:8" ht="12.75">
      <c r="B10" s="107" t="str">
        <f>IF($C$4&gt;=1,"Priority Class 1","")</f>
        <v>Priority Class 1</v>
      </c>
      <c r="C10" s="108">
        <v>1</v>
      </c>
      <c r="D10" s="95">
        <f>IF(C4&gt;=1,F10*C10,"")</f>
        <v>0.5</v>
      </c>
      <c r="E10" s="96">
        <f>IF(C4&gt;=1,G10*C10,"")</f>
        <v>0.25</v>
      </c>
      <c r="F10" s="96">
        <f>IF(C4&gt;=1,1/((FACT(C6)*((C5*C6)-C15)/((C15/C5)^C6)*sumxpf(C15/C5,0,C6-1)+C5*C6)*(1-C10/(C5*C6)))+1/C5,"")</f>
        <v>0.5</v>
      </c>
      <c r="G10" s="97">
        <f>IF(C4&gt;=1,F10-1/C5,"")</f>
        <v>0.25</v>
      </c>
      <c r="H10" s="78"/>
    </row>
    <row r="11" spans="2:8" ht="12.75">
      <c r="B11" s="107" t="str">
        <f>IF($C$4&gt;=2,"Priority Class 2","")</f>
        <v>Priority Class 2</v>
      </c>
      <c r="C11" s="108">
        <v>2</v>
      </c>
      <c r="D11" s="95">
        <f>IF(C4&gt;=2,F11*C11,"")</f>
        <v>2.5</v>
      </c>
      <c r="E11" s="96">
        <f>IF(C4&gt;=2,G11*C11,"")</f>
        <v>2</v>
      </c>
      <c r="F11" s="96">
        <f>IF(C4&gt;=2,1/((FACT(C6)*((C5*C6)-C15)/((C15/C5)^C6)*sumxpf(C15/C5,0,C6-1)+C5*C6)*(1-C10/(C5*C6))*(1-SUM(C10:C11)/(C5*C6)))+1/C5,"")</f>
        <v>1.25</v>
      </c>
      <c r="G11" s="97">
        <f>IF(C4&gt;=2,F11-1/C5,"")</f>
        <v>1</v>
      </c>
      <c r="H11" s="78"/>
    </row>
    <row r="12" spans="2:8" ht="12.75">
      <c r="B12" s="107">
        <f>IF($C$4&gt;=3,"Priority Class 3","")</f>
      </c>
      <c r="C12" s="108"/>
      <c r="D12" s="95">
        <f>IF(C4&gt;=3,F12*C12,"")</f>
      </c>
      <c r="E12" s="96">
        <f>IF(C4&gt;=3,G12*C12,"")</f>
      </c>
      <c r="F12" s="96">
        <f>IF(C4&gt;=3,1/((FACT(C6)*((C5*C6)-C15)/((C15/C5)^C6)*sumxpf(C15/C5,0,C6-1)+C5*C6)*(1-SUM(C10:C11)/(C5*C6))*(1-SUM(C10:C12)/(C5*C6)))+1/C5,"")</f>
      </c>
      <c r="G12" s="97">
        <f>IF(C4&gt;=3,F12-1/C5,"")</f>
      </c>
      <c r="H12" s="78"/>
    </row>
    <row r="13" spans="2:8" ht="12.75">
      <c r="B13" s="107">
        <f>IF($C$4&gt;=4,"Priority Class 4","")</f>
      </c>
      <c r="C13" s="108"/>
      <c r="D13" s="95">
        <f>IF(C4&gt;=4,F13*C13,"")</f>
      </c>
      <c r="E13" s="96">
        <f>IF(C4&gt;=4,G13*C13,"")</f>
      </c>
      <c r="F13" s="96">
        <f>IF(C4&gt;=4,1/((FACT(C6)*((C5*C6)-C15)/((C15/C5)^C6)*sumxpf(C15/C5,0,C6-1)+C5*C6)*(1-SUM(C10:C12)/(C5*C6))*(1-SUM(C10:C13)/(C5*C6)))+1/C5,"")</f>
      </c>
      <c r="G13" s="97">
        <f>IF(C4&gt;=4,F13-1/C5,"")</f>
      </c>
      <c r="H13" s="78"/>
    </row>
    <row r="14" spans="2:8" ht="13.5" thickBot="1">
      <c r="B14" s="109">
        <f>IF($C$4&gt;=5,"Priority Class 5","")</f>
      </c>
      <c r="C14" s="110"/>
      <c r="D14" s="100">
        <f>IF(C4&gt;=5,F14*C14,"")</f>
      </c>
      <c r="E14" s="101">
        <f>IF(C4&gt;=5,G14*C14,"")</f>
      </c>
      <c r="F14" s="101">
        <f>IF(C4&gt;=5,1/((FACT(C6)*((C5*C6)-C15)/((C15/C5)^C6)*sumxpf(C15/C5,0,C6-1)+C5*C6)*(1-SUM(C10:C13)/(C5*C6))*(1-SUM(C10:C14)/(C5*C6)))+1/C5,"")</f>
      </c>
      <c r="G14" s="102">
        <f>IF(C4&gt;=5,F14-1/C5,"")</f>
      </c>
      <c r="H14" s="78"/>
    </row>
    <row r="15" spans="2:7" ht="12.75">
      <c r="B15" s="12" t="s">
        <v>2</v>
      </c>
      <c r="C15" s="103">
        <f>C16*C5*C6</f>
        <v>3</v>
      </c>
      <c r="D15" s="61"/>
      <c r="E15" s="61"/>
      <c r="F15" s="61"/>
      <c r="G15" s="61"/>
    </row>
    <row r="16" spans="2:7" ht="13.5" thickBot="1">
      <c r="B16" s="13" t="s">
        <v>9</v>
      </c>
      <c r="C16" s="102">
        <f>IF(C4=1,C10/(C6*C5),IF(C4=2,SUM(C10:C11)/(C5*C6),IF(C4=3,SUM(C10:C12)/(C6*C5),IF(C4=4,SUM(C10:C13)/(C5*C6),IF(C4=5,SUM(C10:C14)/(C5*C6))))))</f>
        <v>0.75</v>
      </c>
      <c r="D16" s="61"/>
      <c r="E16" s="119">
        <f>IF(C16&gt;=1,"Model invalid because:","")</f>
      </c>
      <c r="F16" s="61"/>
      <c r="G16" s="61"/>
    </row>
    <row r="17" spans="2:7" ht="15.75">
      <c r="B17" s="54"/>
      <c r="C17" s="54"/>
      <c r="D17" s="61"/>
      <c r="E17" s="120">
        <f>IF(C16&gt;=1,"   r   &gt;=   1","")</f>
      </c>
      <c r="F17" s="61"/>
      <c r="G17" s="61"/>
    </row>
    <row r="18" spans="4:7" ht="12.75">
      <c r="D18" s="61"/>
      <c r="E18" s="61"/>
      <c r="F18" s="61"/>
      <c r="G18" s="61"/>
    </row>
    <row r="19" spans="4:7" ht="12.75">
      <c r="D19" s="61"/>
      <c r="E19" s="61"/>
      <c r="F19" s="61"/>
      <c r="G19" s="61"/>
    </row>
    <row r="20" spans="4:7" ht="12.75">
      <c r="D20" s="61"/>
      <c r="E20" s="61"/>
      <c r="F20" s="61"/>
      <c r="G20" s="61"/>
    </row>
    <row r="21" spans="4:7" ht="12.75">
      <c r="D21" s="61"/>
      <c r="E21" s="61"/>
      <c r="F21" s="61"/>
      <c r="G21" s="61"/>
    </row>
    <row r="22" spans="2:5" ht="12.75">
      <c r="B22" s="54"/>
      <c r="C22" s="54"/>
      <c r="E22" s="54"/>
    </row>
    <row r="23" spans="2:5" ht="12.75">
      <c r="B23" s="54"/>
      <c r="C23" s="54"/>
      <c r="E23" s="54"/>
    </row>
  </sheetData>
  <dataValidations count="4">
    <dataValidation type="whole" operator="greaterThanOrEqual" allowBlank="1" showInputMessage="1" showErrorMessage="1" error="The number of servers must be an integer greater than or equal to one." sqref="C6">
      <formula1>1</formula1>
    </dataValidation>
    <dataValidation type="whole" allowBlank="1" showInputMessage="1" showErrorMessage="1" error="The number of priority classes must be an integer between 1 and 5 (inclusive)." sqref="C4">
      <formula1>1</formula1>
      <formula2>5</formula2>
    </dataValidation>
    <dataValidation type="decimal" operator="greaterThan" allowBlank="1" showInputMessage="1" showErrorMessage="1" error="The mean service rate must be greater than zero." sqref="C5">
      <formula1>0</formula1>
    </dataValidation>
    <dataValidation type="decimal" operator="greaterThan" allowBlank="1" showInputMessage="1" showErrorMessage="1" error="The mean arrival rate for this priority class must be greater than zero." sqref="C10:C14">
      <formula1>0</formula1>
    </dataValidation>
  </dataValidations>
  <printOptions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23"/>
  <sheetViews>
    <sheetView workbookViewId="0" topLeftCell="A1">
      <selection activeCell="C4" sqref="C4"/>
    </sheetView>
  </sheetViews>
  <sheetFormatPr defaultColWidth="9.00390625" defaultRowHeight="12.75"/>
  <cols>
    <col min="1" max="1" width="2.75390625" style="54" customWidth="1"/>
    <col min="2" max="2" width="14.00390625" style="60" customWidth="1"/>
    <col min="3" max="3" width="9.75390625" style="61" customWidth="1"/>
    <col min="4" max="4" width="9.75390625" style="54" customWidth="1"/>
    <col min="5" max="5" width="9.75390625" style="60" customWidth="1"/>
    <col min="6" max="7" width="9.75390625" style="54" customWidth="1"/>
    <col min="8" max="16384" width="10.75390625" style="54" customWidth="1"/>
  </cols>
  <sheetData>
    <row r="1" ht="15.75">
      <c r="A1" s="59" t="s">
        <v>38</v>
      </c>
    </row>
    <row r="3" ht="13.5" thickBot="1">
      <c r="C3" s="62"/>
    </row>
    <row r="4" spans="2:5" ht="12.75">
      <c r="B4" s="64" t="s">
        <v>26</v>
      </c>
      <c r="C4" s="81">
        <v>3</v>
      </c>
      <c r="D4" s="82" t="s">
        <v>15</v>
      </c>
      <c r="E4" s="83"/>
    </row>
    <row r="5" spans="2:5" ht="12.75">
      <c r="B5" s="4" t="s">
        <v>4</v>
      </c>
      <c r="C5" s="84">
        <v>8</v>
      </c>
      <c r="D5" s="66" t="s">
        <v>24</v>
      </c>
      <c r="E5" s="85"/>
    </row>
    <row r="6" spans="2:5" ht="13.5" thickBot="1">
      <c r="B6" s="73" t="s">
        <v>5</v>
      </c>
      <c r="C6" s="86">
        <v>1</v>
      </c>
      <c r="D6" s="87" t="s">
        <v>6</v>
      </c>
      <c r="E6" s="88"/>
    </row>
    <row r="7" ht="12.75">
      <c r="C7" s="62"/>
    </row>
    <row r="8" ht="13.5" thickBot="1">
      <c r="D8" s="62"/>
    </row>
    <row r="9" spans="2:8" ht="14.25">
      <c r="B9" s="89"/>
      <c r="C9" s="5" t="s">
        <v>74</v>
      </c>
      <c r="D9" s="90" t="s">
        <v>16</v>
      </c>
      <c r="E9" s="91" t="s">
        <v>17</v>
      </c>
      <c r="F9" s="91" t="s">
        <v>18</v>
      </c>
      <c r="G9" s="92" t="s">
        <v>19</v>
      </c>
      <c r="H9" s="93"/>
    </row>
    <row r="10" spans="2:8" ht="12.75">
      <c r="B10" s="69" t="str">
        <f>IF($C$4&gt;=1,"Priority Class 1","")</f>
        <v>Priority Class 1</v>
      </c>
      <c r="C10" s="94">
        <v>1</v>
      </c>
      <c r="D10" s="95">
        <f>IF(C4&gt;=1,F10*C10,"")</f>
        <v>0.14285714285714285</v>
      </c>
      <c r="E10" s="96">
        <f>IF(C4&gt;=1,G10*C10,"")</f>
        <v>0.01785714285714285</v>
      </c>
      <c r="F10" s="96">
        <f>IF(C4&gt;=1,1/C5/(1-C10/C5),"")</f>
        <v>0.14285714285714285</v>
      </c>
      <c r="G10" s="97">
        <f>IF(C4&gt;=1,F10-1/C5,"")</f>
        <v>0.01785714285714285</v>
      </c>
      <c r="H10" s="93">
        <f>(1-C10/(C5*C6))</f>
        <v>0.875</v>
      </c>
    </row>
    <row r="11" spans="2:8" ht="12.75">
      <c r="B11" s="69" t="str">
        <f>IF($C$4&gt;=2,"Priority Class 2","")</f>
        <v>Priority Class 2</v>
      </c>
      <c r="C11" s="94">
        <v>1</v>
      </c>
      <c r="D11" s="95">
        <f>IF(C4&gt;=2,F11*C11,"")</f>
        <v>0.19047619047619047</v>
      </c>
      <c r="E11" s="96">
        <f>IF(C4&gt;=2,G11*C11,"")</f>
        <v>0.06547619047619047</v>
      </c>
      <c r="F11" s="96">
        <f>IF(C4&gt;=2,1/C5/((1-C10/C5)*(1-SUM(C10:C11)/C5)),"")</f>
        <v>0.19047619047619047</v>
      </c>
      <c r="G11" s="97">
        <f>IF(C4&gt;=2,F11-1/C5,"")</f>
        <v>0.06547619047619047</v>
      </c>
      <c r="H11" s="93">
        <f>(1-SUM(C10:C11)/(C5*C6))</f>
        <v>0.75</v>
      </c>
    </row>
    <row r="12" spans="2:8" ht="12.75">
      <c r="B12" s="69" t="str">
        <f>IF($C$4&gt;=3,"Priority Class 3","")</f>
        <v>Priority Class 3</v>
      </c>
      <c r="C12" s="94">
        <v>1</v>
      </c>
      <c r="D12" s="95">
        <f>IF(C4&gt;=3,F12*C12,"")</f>
        <v>0.26666666666666666</v>
      </c>
      <c r="E12" s="96">
        <f>IF(C4&gt;=3,G12*C12,"")</f>
        <v>0.14166666666666666</v>
      </c>
      <c r="F12" s="96">
        <f>IF(C4&gt;=3,1/C5/((1-SUM(C10:C11)/C5)*(1-SUM(C10:C12)/C5)),"")</f>
        <v>0.26666666666666666</v>
      </c>
      <c r="G12" s="97">
        <f>IF(C4&gt;=3,F12-1/C5,"")</f>
        <v>0.14166666666666666</v>
      </c>
      <c r="H12" s="93">
        <f>(1-SUM(C10:C12)/(C5*C6))</f>
        <v>0.625</v>
      </c>
    </row>
    <row r="13" spans="2:8" ht="12.75">
      <c r="B13" s="69">
        <f>IF($C$4&gt;=4,"Priority Class 4","")</f>
      </c>
      <c r="C13" s="98"/>
      <c r="D13" s="95">
        <f>IF(C4&gt;=4,F13*C13,"")</f>
      </c>
      <c r="E13" s="96">
        <f>IF(C4&gt;=4,G13*C13,"")</f>
      </c>
      <c r="F13" s="96">
        <f>IF(C4&gt;=4,1/C5/((1-SUM(C10:C12)/C5)*(1-SUM(C10:C13)/C5)),"")</f>
      </c>
      <c r="G13" s="97">
        <f>IF(C4&gt;=4,F13-1/C5,"")</f>
      </c>
      <c r="H13" s="93">
        <f>(1-SUM(C10:C13)/(C5*C6))</f>
        <v>0.625</v>
      </c>
    </row>
    <row r="14" spans="2:8" ht="13.5" thickBot="1">
      <c r="B14" s="73">
        <f>IF($C$4&gt;=5,"Priority Class 5","")</f>
      </c>
      <c r="C14" s="99"/>
      <c r="D14" s="100">
        <f>IF(C4&gt;=5,F14*C14,"")</f>
      </c>
      <c r="E14" s="101">
        <f>IF(C4&gt;=5,G14*C14,"")</f>
      </c>
      <c r="F14" s="101">
        <f>IF(C4&gt;=5,1/C5/((1-SUM(C10:C13)/C5)*(1-SUM(C10:C14)/C5)),"")</f>
      </c>
      <c r="G14" s="102">
        <f>IF(C4&gt;=5,F14-1/C5,"")</f>
      </c>
      <c r="H14" s="93">
        <f>(1-SUM(C10:C14)/(C5*C6))</f>
        <v>0.625</v>
      </c>
    </row>
    <row r="15" spans="2:7" ht="12.75">
      <c r="B15" s="12" t="s">
        <v>2</v>
      </c>
      <c r="C15" s="103">
        <f>C16*C5</f>
        <v>3</v>
      </c>
      <c r="D15" s="61"/>
      <c r="E15" s="61"/>
      <c r="F15" s="61"/>
      <c r="G15" s="61"/>
    </row>
    <row r="16" spans="2:7" ht="13.5" thickBot="1">
      <c r="B16" s="13" t="s">
        <v>9</v>
      </c>
      <c r="C16" s="102">
        <f>IF(C4=1,C10/C5,IF(C4=2,SUM(C10:C11)/C5,IF(C4=3,SUM(C10:C12)/C5,IF(C4=4,SUM(C10:C13)/C5,IF(C4=5,SUM(C10:C14)/C5)))))</f>
        <v>0.375</v>
      </c>
      <c r="D16" s="61"/>
      <c r="E16" s="119">
        <f>IF(C16&gt;=1,"Model invalid because:","")</f>
      </c>
      <c r="F16" s="61"/>
      <c r="G16" s="61"/>
    </row>
    <row r="17" spans="2:7" ht="15.75">
      <c r="B17" s="54"/>
      <c r="C17" s="54"/>
      <c r="D17" s="61"/>
      <c r="E17" s="120">
        <f>IF(C16&gt;=1,"   r   &gt;=   1","")</f>
      </c>
      <c r="F17" s="61"/>
      <c r="G17" s="61"/>
    </row>
    <row r="18" spans="4:7" ht="12.75">
      <c r="D18" s="61"/>
      <c r="E18" s="61"/>
      <c r="F18" s="61"/>
      <c r="G18" s="61"/>
    </row>
    <row r="19" spans="4:7" ht="12.75">
      <c r="D19" s="61"/>
      <c r="E19" s="61"/>
      <c r="F19" s="61"/>
      <c r="G19" s="61"/>
    </row>
    <row r="20" spans="4:7" ht="12.75">
      <c r="D20" s="61"/>
      <c r="E20" s="61"/>
      <c r="F20" s="61"/>
      <c r="G20" s="61"/>
    </row>
    <row r="21" spans="4:7" ht="12.75">
      <c r="D21" s="61"/>
      <c r="E21" s="61"/>
      <c r="F21" s="61"/>
      <c r="G21" s="61"/>
    </row>
    <row r="22" spans="2:5" ht="12.75">
      <c r="B22" s="54"/>
      <c r="C22" s="54"/>
      <c r="E22" s="54"/>
    </row>
    <row r="23" spans="2:5" ht="12.75">
      <c r="B23" s="54"/>
      <c r="C23" s="54"/>
      <c r="E23" s="54"/>
    </row>
  </sheetData>
  <dataValidations count="4">
    <dataValidation type="whole" allowBlank="1" showInputMessage="1" showErrorMessage="1" error="The number of priority classes must be an integer between 1 and 5 (inclusive)." sqref="C4">
      <formula1>1</formula1>
      <formula2>5</formula2>
    </dataValidation>
    <dataValidation type="decimal" operator="greaterThan" allowBlank="1" showInputMessage="1" showErrorMessage="1" error="The mean service rate must be greater than zero." sqref="C5">
      <formula1>0</formula1>
    </dataValidation>
    <dataValidation type="whole" operator="equal" allowBlank="1" showInputMessage="1" showErrorMessage="1" error="The number of servers must equal one." sqref="C6">
      <formula1>1</formula1>
    </dataValidation>
    <dataValidation type="decimal" operator="greaterThan" allowBlank="1" showInputMessage="1" showErrorMessage="1" error="The arrival rate for this priority class must be greater than zero." sqref="C10:C14">
      <formula1>0</formula1>
    </dataValidation>
  </dataValidations>
  <printOptions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7"/>
  <sheetViews>
    <sheetView workbookViewId="0" topLeftCell="A1">
      <selection activeCell="C4" sqref="C4"/>
    </sheetView>
  </sheetViews>
  <sheetFormatPr defaultColWidth="9.00390625" defaultRowHeight="12.75"/>
  <cols>
    <col min="1" max="1" width="2.75390625" style="54" customWidth="1"/>
    <col min="2" max="2" width="10.75390625" style="60" customWidth="1"/>
    <col min="3" max="3" width="9.375" style="61" customWidth="1"/>
    <col min="4" max="4" width="17.375" style="54" customWidth="1"/>
    <col min="5" max="5" width="24.625" style="54" customWidth="1"/>
    <col min="6" max="6" width="5.875" style="60" customWidth="1"/>
    <col min="7" max="16384" width="10.75390625" style="54" customWidth="1"/>
  </cols>
  <sheetData>
    <row r="1" ht="15.75">
      <c r="A1" s="59" t="s">
        <v>39</v>
      </c>
    </row>
    <row r="3" spans="3:7" ht="13.5" thickBot="1">
      <c r="C3" s="62" t="s">
        <v>0</v>
      </c>
      <c r="F3" s="63" t="s">
        <v>1</v>
      </c>
      <c r="G3" s="63"/>
    </row>
    <row r="4" spans="2:7" ht="12.75">
      <c r="B4" s="3" t="s">
        <v>2</v>
      </c>
      <c r="C4" s="81">
        <v>3</v>
      </c>
      <c r="D4" s="65" t="s">
        <v>23</v>
      </c>
      <c r="E4" s="66"/>
      <c r="F4" s="67" t="s">
        <v>3</v>
      </c>
      <c r="G4" s="68">
        <f>sumnarray(G12:G37,0,MIN(C6,C7)-1,0)+G5+MIN(C6,C7)*(1-sumarray(G12:G37,0,MIN(C6,C7)-1))</f>
        <v>2</v>
      </c>
    </row>
    <row r="5" spans="2:7" ht="14.25">
      <c r="B5" s="4" t="s">
        <v>4</v>
      </c>
      <c r="C5" s="84">
        <v>3</v>
      </c>
      <c r="D5" s="70" t="s">
        <v>24</v>
      </c>
      <c r="E5" s="66"/>
      <c r="F5" s="71" t="s">
        <v>42</v>
      </c>
      <c r="G5" s="72">
        <f>IF(G10=1,sumnarray(G12:G37,C6,C7,C6),G12*((C4/C5)^MIN(C6,C7))*G10/(FACT(MIN(C6,C7))*(1-G10)^2)*(1-(G10^(C7-MIN(C6,C7)))-(C7-MIN(C6,C7))*(G10^(C7-MIN(C6,C7)))*(1-G10)))</f>
        <v>1.2000000000000002</v>
      </c>
    </row>
    <row r="6" spans="2:7" ht="12.75">
      <c r="B6" s="69" t="s">
        <v>5</v>
      </c>
      <c r="C6" s="84">
        <v>1</v>
      </c>
      <c r="D6" s="70" t="s">
        <v>6</v>
      </c>
      <c r="E6" s="66"/>
      <c r="F6" s="71"/>
      <c r="G6" s="72"/>
    </row>
    <row r="7" spans="2:7" ht="13.5" thickBot="1">
      <c r="B7" s="73" t="s">
        <v>20</v>
      </c>
      <c r="C7" s="104">
        <v>4</v>
      </c>
      <c r="D7" s="74" t="s">
        <v>21</v>
      </c>
      <c r="E7" s="66"/>
      <c r="F7" s="71" t="s">
        <v>7</v>
      </c>
      <c r="G7" s="72">
        <f>G4/(C4*(1-(((C4/C5)^C7)/(FACT(MIN(C6,C7))*MIN(C6,C7)^(C7-MIN(C6,C7)))*G12)))</f>
        <v>0.8333333333333333</v>
      </c>
    </row>
    <row r="8" spans="2:7" ht="14.25">
      <c r="B8" s="54"/>
      <c r="C8" s="54"/>
      <c r="F8" s="71" t="s">
        <v>44</v>
      </c>
      <c r="G8" s="72">
        <f>G5/(C4*(1-(((C4/C5)^C7)/(FACT(MIN(C6,C7))*MIN(C6,C7)^(C7-MIN(C6,C7)))*G12)))</f>
        <v>0.5</v>
      </c>
    </row>
    <row r="9" spans="6:7" ht="12.75">
      <c r="F9" s="71"/>
      <c r="G9" s="72"/>
    </row>
    <row r="10" spans="2:7" ht="12.75">
      <c r="B10" s="54"/>
      <c r="C10" s="54"/>
      <c r="F10" s="11" t="s">
        <v>9</v>
      </c>
      <c r="G10" s="72">
        <f>C4/(MIN(C6,C7)*C5)</f>
        <v>1</v>
      </c>
    </row>
    <row r="11" spans="2:7" ht="12.75">
      <c r="B11" s="75"/>
      <c r="C11" s="76"/>
      <c r="F11" s="71"/>
      <c r="G11" s="72"/>
    </row>
    <row r="12" spans="2:10" ht="14.25">
      <c r="B12" s="75"/>
      <c r="C12" s="77"/>
      <c r="F12" s="71" t="s">
        <v>46</v>
      </c>
      <c r="G12" s="72">
        <f>IF(C7&gt;=C6+1,1/(1+(sumxpf(C4/C5,1,C6)+((C4/C5)^C6)/FACT(C6)*sumxp(C4/(C6*C5),C6+1,C7))),1/(1+sumxpf(C4/C5,1,MIN(C6,C7))))</f>
        <v>0.2</v>
      </c>
      <c r="I12" s="78"/>
      <c r="J12" s="78"/>
    </row>
    <row r="13" spans="2:10" ht="14.25">
      <c r="B13" s="75"/>
      <c r="C13" s="76"/>
      <c r="F13" s="71" t="s">
        <v>47</v>
      </c>
      <c r="G13" s="72">
        <f>IF(ROW(G1)&gt;$C$7,0,IF(ROW(G1)&gt;=MIN($C$6,$C$7),(($C$4/$C$5)^ROW(G1))/(FACT(MIN($C$6,$C$7))*(MIN($C$6,$C$7)^(ROW(G1)-MIN($C$6,$C$7))))*$G$12,(($C$4/$C$5)^ROW(G1))/FACT(ROW(G1))*$G$12))</f>
        <v>0.2</v>
      </c>
      <c r="I13" s="78"/>
      <c r="J13" s="78"/>
    </row>
    <row r="14" spans="2:10" ht="14.25">
      <c r="B14" s="75"/>
      <c r="C14" s="76"/>
      <c r="F14" s="71" t="s">
        <v>48</v>
      </c>
      <c r="G14" s="72">
        <f aca="true" t="shared" si="0" ref="G14:G37">IF(ROW(G2)&gt;$C$7,0,IF(ROW(G2)&gt;=MIN($C$6,$C$7),(($C$4/$C$5)^ROW(G2))/(FACT(MIN($C$6,$C$7))*(MIN($C$6,$C$7)^(ROW(G2)-MIN($C$6,$C$7))))*$G$12,(($C$4/$C$5)^ROW(G2))/FACT(ROW(G2))*$G$12))</f>
        <v>0.2</v>
      </c>
      <c r="I14" s="78"/>
      <c r="J14" s="78"/>
    </row>
    <row r="15" spans="3:10" ht="14.25">
      <c r="C15" s="62"/>
      <c r="F15" s="71" t="s">
        <v>49</v>
      </c>
      <c r="G15" s="72">
        <f t="shared" si="0"/>
        <v>0.2</v>
      </c>
      <c r="I15" s="78"/>
      <c r="J15" s="78"/>
    </row>
    <row r="16" spans="2:10" ht="14.25">
      <c r="B16" s="54"/>
      <c r="C16" s="54"/>
      <c r="F16" s="71" t="s">
        <v>50</v>
      </c>
      <c r="G16" s="72">
        <f t="shared" si="0"/>
        <v>0.2</v>
      </c>
      <c r="I16" s="78"/>
      <c r="J16" s="78"/>
    </row>
    <row r="17" spans="2:10" ht="14.25">
      <c r="B17" s="54"/>
      <c r="C17" s="54"/>
      <c r="F17" s="71" t="s">
        <v>51</v>
      </c>
      <c r="G17" s="72">
        <f t="shared" si="0"/>
        <v>0</v>
      </c>
      <c r="I17" s="78"/>
      <c r="J17" s="78"/>
    </row>
    <row r="18" spans="2:10" ht="14.25">
      <c r="B18" s="54"/>
      <c r="F18" s="71" t="s">
        <v>52</v>
      </c>
      <c r="G18" s="72">
        <f t="shared" si="0"/>
        <v>0</v>
      </c>
      <c r="I18" s="78"/>
      <c r="J18" s="78"/>
    </row>
    <row r="19" spans="2:10" ht="14.25">
      <c r="B19" s="54"/>
      <c r="F19" s="71" t="s">
        <v>53</v>
      </c>
      <c r="G19" s="72">
        <f t="shared" si="0"/>
        <v>0</v>
      </c>
      <c r="I19" s="78"/>
      <c r="J19" s="78"/>
    </row>
    <row r="20" spans="2:10" ht="14.25">
      <c r="B20" s="54"/>
      <c r="F20" s="71" t="s">
        <v>54</v>
      </c>
      <c r="G20" s="72">
        <f t="shared" si="0"/>
        <v>0</v>
      </c>
      <c r="I20" s="78"/>
      <c r="J20" s="78"/>
    </row>
    <row r="21" spans="6:10" ht="14.25">
      <c r="F21" s="71" t="s">
        <v>55</v>
      </c>
      <c r="G21" s="72">
        <f t="shared" si="0"/>
        <v>0</v>
      </c>
      <c r="I21" s="78"/>
      <c r="J21" s="78"/>
    </row>
    <row r="22" spans="6:10" ht="14.25">
      <c r="F22" s="71" t="s">
        <v>56</v>
      </c>
      <c r="G22" s="72">
        <f t="shared" si="0"/>
        <v>0</v>
      </c>
      <c r="I22" s="78"/>
      <c r="J22" s="78"/>
    </row>
    <row r="23" spans="6:7" ht="14.25">
      <c r="F23" s="71" t="s">
        <v>57</v>
      </c>
      <c r="G23" s="72">
        <f t="shared" si="0"/>
        <v>0</v>
      </c>
    </row>
    <row r="24" spans="6:7" ht="14.25">
      <c r="F24" s="71" t="s">
        <v>58</v>
      </c>
      <c r="G24" s="72">
        <f t="shared" si="0"/>
        <v>0</v>
      </c>
    </row>
    <row r="25" spans="6:7" ht="14.25">
      <c r="F25" s="71" t="s">
        <v>59</v>
      </c>
      <c r="G25" s="72">
        <f t="shared" si="0"/>
        <v>0</v>
      </c>
    </row>
    <row r="26" spans="6:7" ht="14.25">
      <c r="F26" s="71" t="s">
        <v>60</v>
      </c>
      <c r="G26" s="72">
        <f t="shared" si="0"/>
        <v>0</v>
      </c>
    </row>
    <row r="27" spans="6:7" ht="14.25">
      <c r="F27" s="71" t="s">
        <v>61</v>
      </c>
      <c r="G27" s="72">
        <f t="shared" si="0"/>
        <v>0</v>
      </c>
    </row>
    <row r="28" spans="6:7" ht="14.25">
      <c r="F28" s="71" t="s">
        <v>62</v>
      </c>
      <c r="G28" s="72">
        <f t="shared" si="0"/>
        <v>0</v>
      </c>
    </row>
    <row r="29" spans="6:7" ht="14.25">
      <c r="F29" s="71" t="s">
        <v>63</v>
      </c>
      <c r="G29" s="72">
        <f t="shared" si="0"/>
        <v>0</v>
      </c>
    </row>
    <row r="30" spans="6:7" ht="14.25">
      <c r="F30" s="71" t="s">
        <v>64</v>
      </c>
      <c r="G30" s="72">
        <f t="shared" si="0"/>
        <v>0</v>
      </c>
    </row>
    <row r="31" spans="6:7" ht="14.25">
      <c r="F31" s="71" t="s">
        <v>65</v>
      </c>
      <c r="G31" s="72">
        <f t="shared" si="0"/>
        <v>0</v>
      </c>
    </row>
    <row r="32" spans="6:7" ht="14.25">
      <c r="F32" s="71" t="s">
        <v>66</v>
      </c>
      <c r="G32" s="72">
        <f t="shared" si="0"/>
        <v>0</v>
      </c>
    </row>
    <row r="33" spans="6:7" ht="14.25">
      <c r="F33" s="71" t="s">
        <v>67</v>
      </c>
      <c r="G33" s="72">
        <f t="shared" si="0"/>
        <v>0</v>
      </c>
    </row>
    <row r="34" spans="6:7" ht="14.25">
      <c r="F34" s="71" t="s">
        <v>68</v>
      </c>
      <c r="G34" s="72">
        <f t="shared" si="0"/>
        <v>0</v>
      </c>
    </row>
    <row r="35" spans="6:7" ht="14.25">
      <c r="F35" s="71" t="s">
        <v>69</v>
      </c>
      <c r="G35" s="72">
        <f t="shared" si="0"/>
        <v>0</v>
      </c>
    </row>
    <row r="36" spans="6:7" ht="14.25">
      <c r="F36" s="71" t="s">
        <v>70</v>
      </c>
      <c r="G36" s="72">
        <f t="shared" si="0"/>
        <v>0</v>
      </c>
    </row>
    <row r="37" spans="6:7" ht="15" thickBot="1">
      <c r="F37" s="79" t="s">
        <v>71</v>
      </c>
      <c r="G37" s="80">
        <f t="shared" si="0"/>
        <v>0</v>
      </c>
    </row>
  </sheetData>
  <dataValidations count="4">
    <dataValidation type="whole" operator="greaterThanOrEqual" allowBlank="1" showInputMessage="1" showErrorMessage="1" error="The number of servers must be an integer greater than or equal to one." sqref="C6">
      <formula1>1</formula1>
    </dataValidation>
    <dataValidation type="whole" allowBlank="1" showInputMessage="1" showErrorMessage="1" error="The maximum number of customers must be an integer between 1 and 25 (inclusive)." sqref="C7">
      <formula1>1</formula1>
      <formula2>25</formula2>
    </dataValidation>
    <dataValidation type="decimal" operator="greaterThan" allowBlank="1" showInputMessage="1" showErrorMessage="1" error="The mean arrival rate must be greater than zero." sqref="C4">
      <formula1>0</formula1>
    </dataValidation>
    <dataValidation type="whole" operator="greaterThan" allowBlank="1" showInputMessage="1" showErrorMessage="1" error="The mean service rate must be greater than zero." sqref="C5">
      <formula1>0</formula1>
    </dataValidation>
  </dataValidations>
  <printOptions/>
  <pageMargins left="0.75" right="0.75" top="1" bottom="1" header="0.5" footer="0.5"/>
  <pageSetup fitToHeight="1" fitToWidth="1" orientation="landscape" paperSize="9" scale="9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38"/>
  <sheetViews>
    <sheetView workbookViewId="0" topLeftCell="A1">
      <selection activeCell="C4" sqref="C4"/>
    </sheetView>
  </sheetViews>
  <sheetFormatPr defaultColWidth="9.00390625" defaultRowHeight="12.75"/>
  <cols>
    <col min="1" max="1" width="2.75390625" style="34" customWidth="1"/>
    <col min="2" max="2" width="10.75390625" style="49" customWidth="1"/>
    <col min="3" max="3" width="9.375" style="50" customWidth="1"/>
    <col min="4" max="4" width="17.25390625" style="34" customWidth="1"/>
    <col min="5" max="5" width="24.875" style="34" customWidth="1"/>
    <col min="6" max="6" width="6.875" style="49" customWidth="1"/>
    <col min="7" max="16384" width="10.75390625" style="34" customWidth="1"/>
  </cols>
  <sheetData>
    <row r="1" ht="15.75">
      <c r="A1" s="48" t="s">
        <v>40</v>
      </c>
    </row>
    <row r="3" spans="3:7" ht="13.5" thickBot="1">
      <c r="C3" s="51" t="s">
        <v>0</v>
      </c>
      <c r="F3" s="52" t="s">
        <v>1</v>
      </c>
      <c r="G3" s="52"/>
    </row>
    <row r="4" spans="2:7" ht="12.75">
      <c r="B4" s="1" t="s">
        <v>2</v>
      </c>
      <c r="C4" s="20">
        <v>1</v>
      </c>
      <c r="D4" s="21" t="s">
        <v>27</v>
      </c>
      <c r="E4" s="53"/>
      <c r="F4" s="22" t="s">
        <v>3</v>
      </c>
      <c r="G4" s="23">
        <f>sumnarray(G13:G38,0,MIN(C6,C7)-1,0)+G5+MIN(C6,C7)*(1-sumarray(G13:G38,0,MIN(C6,C7)-1))</f>
        <v>1.4243391066545126</v>
      </c>
    </row>
    <row r="5" spans="2:7" ht="14.25">
      <c r="B5" s="2" t="s">
        <v>4</v>
      </c>
      <c r="C5" s="25">
        <v>1</v>
      </c>
      <c r="D5" s="26" t="s">
        <v>24</v>
      </c>
      <c r="E5" s="53"/>
      <c r="F5" s="27" t="s">
        <v>42</v>
      </c>
      <c r="G5" s="28">
        <f>sumnarray(G13:G38,MIN(C6,C7),C7,MIN(C6,C7))</f>
        <v>0.7092069279854148</v>
      </c>
    </row>
    <row r="6" spans="2:7" ht="12.75">
      <c r="B6" s="24" t="s">
        <v>5</v>
      </c>
      <c r="C6" s="25">
        <v>1</v>
      </c>
      <c r="D6" s="26" t="s">
        <v>6</v>
      </c>
      <c r="E6" s="53"/>
      <c r="F6" s="27"/>
      <c r="G6" s="28"/>
    </row>
    <row r="7" spans="2:7" ht="13.5" thickBot="1">
      <c r="B7" s="29" t="s">
        <v>14</v>
      </c>
      <c r="C7" s="30">
        <v>5</v>
      </c>
      <c r="D7" s="31" t="s">
        <v>22</v>
      </c>
      <c r="E7" s="53"/>
      <c r="F7" s="27" t="s">
        <v>7</v>
      </c>
      <c r="G7" s="28">
        <f>G4/((C4/C7)*(C7-G4))</f>
        <v>1.9917144678138947</v>
      </c>
    </row>
    <row r="8" spans="2:7" ht="14.25">
      <c r="B8" s="54"/>
      <c r="C8" s="54"/>
      <c r="D8" s="54"/>
      <c r="E8" s="54"/>
      <c r="F8" s="27" t="s">
        <v>44</v>
      </c>
      <c r="G8" s="28">
        <f>G5/((C4/C7)*(C7-G4))</f>
        <v>0.9917144678138944</v>
      </c>
    </row>
    <row r="9" spans="2:7" ht="12.75">
      <c r="B9" s="55"/>
      <c r="C9" s="56"/>
      <c r="D9" s="53"/>
      <c r="E9" s="53"/>
      <c r="F9" s="27"/>
      <c r="G9" s="28"/>
    </row>
    <row r="10" spans="2:7" ht="12.75">
      <c r="B10" s="54"/>
      <c r="C10" s="54"/>
      <c r="D10" s="54"/>
      <c r="E10" s="54"/>
      <c r="F10" s="9" t="s">
        <v>9</v>
      </c>
      <c r="G10" s="28">
        <f>C4/(C6*C5)</f>
        <v>1</v>
      </c>
    </row>
    <row r="11" spans="2:7" ht="12.75">
      <c r="B11" s="15"/>
      <c r="C11" s="16"/>
      <c r="F11" s="10" t="s">
        <v>75</v>
      </c>
      <c r="G11" s="57">
        <f>(C4/C7)*(C7-G4)</f>
        <v>0.7151321786690975</v>
      </c>
    </row>
    <row r="12" spans="2:7" ht="12.75">
      <c r="B12" s="15"/>
      <c r="C12" s="58"/>
      <c r="F12" s="27"/>
      <c r="G12" s="28"/>
    </row>
    <row r="13" spans="1:7" ht="14.25">
      <c r="A13" s="121">
        <v>0</v>
      </c>
      <c r="B13" s="15"/>
      <c r="C13" s="16"/>
      <c r="F13" s="27" t="s">
        <v>46</v>
      </c>
      <c r="G13" s="28">
        <f>1/(finitepop((C4/C7)/C5,MIN(C6,C7),C7))</f>
        <v>0.28486782133090244</v>
      </c>
    </row>
    <row r="14" spans="1:7" ht="14.25">
      <c r="A14" s="121">
        <v>1</v>
      </c>
      <c r="B14" s="15"/>
      <c r="C14" s="16"/>
      <c r="F14" s="27" t="s">
        <v>47</v>
      </c>
      <c r="G14" s="28">
        <f>IF(ROW(G1)&lt;=MIN($C$6,$C$7),FACT($C$7)*((($C$4/$C$7)/$C$5)^ROW(G1))*$G$13/(FACT($C$7-ROW(G1))*FACT(ROW(G1))),IF(ROW(G1)&lt;=$C$7,FACT($C$7)*((($C$4/$C$7)/$C$5)^ROW(G1))*$G$13/(FACT($C$7-ROW(G1))*FACT($C$6)*($C$6^(ROW(G1)-$C$6))),0))</f>
        <v>0.28486782133090244</v>
      </c>
    </row>
    <row r="15" spans="1:7" ht="14.25">
      <c r="A15" s="121">
        <v>2</v>
      </c>
      <c r="C15" s="51"/>
      <c r="F15" s="27" t="s">
        <v>48</v>
      </c>
      <c r="G15" s="28">
        <f aca="true" t="shared" si="0" ref="G15:G38">IF(ROW(G2)&lt;=MIN($C$6,$C$7),FACT($C$7)*((($C$4/$C$7)/$C$5)^ROW(G2))*$G$13/(FACT($C$7-ROW(G2))*FACT(ROW(G2))),IF(ROW(G2)&lt;=$C$7,FACT($C$7)*((($C$4/$C$7)/$C$5)^ROW(G2))*$G$13/(FACT($C$7-ROW(G2))*FACT($C$6)*($C$6^(ROW(G2)-$C$6))),0))</f>
        <v>0.227894257064722</v>
      </c>
    </row>
    <row r="16" spans="1:7" ht="14.25">
      <c r="A16" s="121">
        <v>3</v>
      </c>
      <c r="B16" s="34"/>
      <c r="C16" s="34"/>
      <c r="F16" s="27" t="s">
        <v>49</v>
      </c>
      <c r="G16" s="28">
        <f t="shared" si="0"/>
        <v>0.13673655423883319</v>
      </c>
    </row>
    <row r="17" spans="1:7" ht="14.25">
      <c r="A17" s="121">
        <v>4</v>
      </c>
      <c r="B17" s="34"/>
      <c r="C17" s="34"/>
      <c r="F17" s="27" t="s">
        <v>50</v>
      </c>
      <c r="G17" s="28">
        <f t="shared" si="0"/>
        <v>0.05469462169553329</v>
      </c>
    </row>
    <row r="18" spans="1:7" ht="14.25">
      <c r="A18" s="121">
        <v>5</v>
      </c>
      <c r="B18" s="34"/>
      <c r="F18" s="27" t="s">
        <v>51</v>
      </c>
      <c r="G18" s="28">
        <f t="shared" si="0"/>
        <v>0.01093892433910666</v>
      </c>
    </row>
    <row r="19" spans="1:7" ht="14.25">
      <c r="A19" s="121">
        <v>6</v>
      </c>
      <c r="B19" s="34"/>
      <c r="F19" s="27" t="s">
        <v>52</v>
      </c>
      <c r="G19" s="28">
        <f t="shared" si="0"/>
        <v>0</v>
      </c>
    </row>
    <row r="20" spans="1:7" ht="14.25">
      <c r="A20" s="121">
        <v>7</v>
      </c>
      <c r="B20" s="34"/>
      <c r="F20" s="27" t="s">
        <v>53</v>
      </c>
      <c r="G20" s="28">
        <f t="shared" si="0"/>
        <v>0</v>
      </c>
    </row>
    <row r="21" spans="1:7" ht="14.25">
      <c r="A21" s="121">
        <v>8</v>
      </c>
      <c r="F21" s="27" t="s">
        <v>54</v>
      </c>
      <c r="G21" s="28">
        <f t="shared" si="0"/>
        <v>0</v>
      </c>
    </row>
    <row r="22" spans="1:7" ht="14.25">
      <c r="A22" s="121">
        <v>9</v>
      </c>
      <c r="F22" s="27" t="s">
        <v>55</v>
      </c>
      <c r="G22" s="28">
        <f t="shared" si="0"/>
        <v>0</v>
      </c>
    </row>
    <row r="23" spans="1:7" ht="14.25">
      <c r="A23" s="121">
        <v>10</v>
      </c>
      <c r="F23" s="27" t="s">
        <v>56</v>
      </c>
      <c r="G23" s="28">
        <f t="shared" si="0"/>
        <v>0</v>
      </c>
    </row>
    <row r="24" spans="1:7" ht="14.25">
      <c r="A24" s="121">
        <v>11</v>
      </c>
      <c r="F24" s="27" t="s">
        <v>57</v>
      </c>
      <c r="G24" s="28">
        <f t="shared" si="0"/>
        <v>0</v>
      </c>
    </row>
    <row r="25" spans="1:7" ht="14.25">
      <c r="A25" s="121">
        <v>12</v>
      </c>
      <c r="F25" s="27" t="s">
        <v>58</v>
      </c>
      <c r="G25" s="28">
        <f t="shared" si="0"/>
        <v>0</v>
      </c>
    </row>
    <row r="26" spans="1:7" ht="14.25">
      <c r="A26" s="121">
        <v>13</v>
      </c>
      <c r="F26" s="27" t="s">
        <v>59</v>
      </c>
      <c r="G26" s="28">
        <f t="shared" si="0"/>
        <v>0</v>
      </c>
    </row>
    <row r="27" spans="1:7" ht="14.25">
      <c r="A27" s="121">
        <v>14</v>
      </c>
      <c r="F27" s="27" t="s">
        <v>60</v>
      </c>
      <c r="G27" s="28">
        <f t="shared" si="0"/>
        <v>0</v>
      </c>
    </row>
    <row r="28" spans="1:7" ht="14.25">
      <c r="A28" s="121">
        <v>15</v>
      </c>
      <c r="F28" s="27" t="s">
        <v>61</v>
      </c>
      <c r="G28" s="28">
        <f t="shared" si="0"/>
        <v>0</v>
      </c>
    </row>
    <row r="29" spans="1:7" ht="14.25">
      <c r="A29" s="121">
        <v>16</v>
      </c>
      <c r="F29" s="27" t="s">
        <v>62</v>
      </c>
      <c r="G29" s="28">
        <f t="shared" si="0"/>
        <v>0</v>
      </c>
    </row>
    <row r="30" spans="1:7" ht="14.25">
      <c r="A30" s="121">
        <v>17</v>
      </c>
      <c r="F30" s="27" t="s">
        <v>63</v>
      </c>
      <c r="G30" s="28">
        <f t="shared" si="0"/>
        <v>0</v>
      </c>
    </row>
    <row r="31" spans="1:7" ht="14.25">
      <c r="A31" s="121">
        <v>18</v>
      </c>
      <c r="F31" s="27" t="s">
        <v>64</v>
      </c>
      <c r="G31" s="28">
        <f t="shared" si="0"/>
        <v>0</v>
      </c>
    </row>
    <row r="32" spans="1:7" ht="14.25">
      <c r="A32" s="121">
        <v>19</v>
      </c>
      <c r="F32" s="27" t="s">
        <v>65</v>
      </c>
      <c r="G32" s="28">
        <f t="shared" si="0"/>
        <v>0</v>
      </c>
    </row>
    <row r="33" spans="1:7" ht="14.25">
      <c r="A33" s="121">
        <v>20</v>
      </c>
      <c r="F33" s="27" t="s">
        <v>66</v>
      </c>
      <c r="G33" s="28">
        <f t="shared" si="0"/>
        <v>0</v>
      </c>
    </row>
    <row r="34" spans="1:7" ht="14.25">
      <c r="A34" s="121">
        <v>21</v>
      </c>
      <c r="F34" s="27" t="s">
        <v>67</v>
      </c>
      <c r="G34" s="28">
        <f t="shared" si="0"/>
        <v>0</v>
      </c>
    </row>
    <row r="35" spans="1:7" ht="14.25">
      <c r="A35" s="121">
        <v>22</v>
      </c>
      <c r="F35" s="27" t="s">
        <v>68</v>
      </c>
      <c r="G35" s="28">
        <f t="shared" si="0"/>
        <v>0</v>
      </c>
    </row>
    <row r="36" spans="1:7" ht="14.25">
      <c r="A36" s="121">
        <v>23</v>
      </c>
      <c r="F36" s="27" t="s">
        <v>69</v>
      </c>
      <c r="G36" s="28">
        <f t="shared" si="0"/>
        <v>0</v>
      </c>
    </row>
    <row r="37" spans="1:7" ht="14.25">
      <c r="A37" s="121">
        <v>24</v>
      </c>
      <c r="F37" s="27" t="s">
        <v>70</v>
      </c>
      <c r="G37" s="28">
        <f t="shared" si="0"/>
        <v>0</v>
      </c>
    </row>
    <row r="38" spans="1:7" ht="15" thickBot="1">
      <c r="A38" s="121">
        <v>25</v>
      </c>
      <c r="F38" s="36" t="s">
        <v>71</v>
      </c>
      <c r="G38" s="37">
        <f t="shared" si="0"/>
        <v>0</v>
      </c>
    </row>
  </sheetData>
  <dataValidations count="4">
    <dataValidation type="whole" operator="greaterThanOrEqual" allowBlank="1" showInputMessage="1" showErrorMessage="1" error="The number of servers must be an integer greater than or equal to one." sqref="C6">
      <formula1>1</formula1>
    </dataValidation>
    <dataValidation type="whole" allowBlank="1" showInputMessage="1" showErrorMessage="1" error="The size of the population must be an integer between 1 and 25 (inclusive)." sqref="C7">
      <formula1>1</formula1>
      <formula2>25</formula2>
    </dataValidation>
    <dataValidation type="decimal" operator="greaterThan" allowBlank="1" showInputMessage="1" showErrorMessage="1" error="The maximum arrival rate must be greater than or equal to zero." sqref="C4">
      <formula1>0</formula1>
    </dataValidation>
    <dataValidation type="decimal" operator="greaterThan" allowBlank="1" showInputMessage="1" showErrorMessage="1" error="The mean service rate must be greater than zero." sqref="C5">
      <formula1>0</formula1>
    </dataValidation>
  </dataValidations>
  <printOptions/>
  <pageMargins left="0.75" right="0.75" top="1" bottom="1" header="0.5" footer="0.5"/>
  <pageSetup fitToHeight="1" fitToWidth="1" orientation="landscape" paperSize="9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a</cp:lastModifiedBy>
  <dcterms:created xsi:type="dcterms:W3CDTF">1998-08-18T16:12:25Z</dcterms:created>
  <cp:category/>
  <cp:version/>
  <cp:contentType/>
  <cp:contentStatus/>
</cp:coreProperties>
</file>